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0" windowWidth="15375" windowHeight="8985" activeTab="1"/>
  </bookViews>
  <sheets>
    <sheet name="Info" sheetId="1" r:id="rId1"/>
    <sheet name="Input &amp; Results" sheetId="2" r:id="rId2"/>
    <sheet name="Calculation Q_Heating" sheetId="3" state="hidden" r:id="rId3"/>
    <sheet name="Calculation Q_Cooling" sheetId="4" state="hidden" r:id="rId4"/>
    <sheet name="Calculation Q_DHW" sheetId="5" state="hidden" r:id="rId5"/>
    <sheet name="Calculation Q_Fans" sheetId="6" state="hidden" r:id="rId6"/>
    <sheet name="Climate data" sheetId="7" state="hidden" r:id="rId7"/>
    <sheet name="Climate 1" sheetId="8" state="hidden" r:id="rId8"/>
    <sheet name="Climate 2" sheetId="9" state="hidden" r:id="rId9"/>
    <sheet name="Climate 3" sheetId="10" state="hidden" r:id="rId10"/>
    <sheet name="NL - De Bilt" sheetId="11" state="hidden" r:id="rId11"/>
    <sheet name="DE - Berlin" sheetId="12" state="hidden" r:id="rId12"/>
    <sheet name="BE - Brussels" sheetId="13" state="hidden" r:id="rId13"/>
    <sheet name="FR - Paris" sheetId="14" state="hidden" r:id="rId14"/>
    <sheet name="DK - Kobenhavn" sheetId="15" state="hidden" r:id="rId15"/>
    <sheet name="CZ - Praha" sheetId="16" state="hidden" r:id="rId16"/>
    <sheet name="ES - Madrid" sheetId="17" state="hidden" r:id="rId17"/>
    <sheet name="PL - Warszawa" sheetId="18" state="hidden" r:id="rId18"/>
    <sheet name="FI - Helsinki" sheetId="19" state="hidden" r:id="rId19"/>
    <sheet name="IT - Rome" sheetId="20" state="hidden" r:id="rId20"/>
    <sheet name="NO - Oslo" sheetId="21" state="hidden" r:id="rId21"/>
    <sheet name="RO - Bucharest" sheetId="22" state="hidden" r:id="rId22"/>
    <sheet name="HU - Budapest" sheetId="23" state="hidden" r:id="rId23"/>
    <sheet name="IE - Dublin" sheetId="24" state="hidden" r:id="rId24"/>
    <sheet name="GB - London" sheetId="25" state="hidden" r:id="rId25"/>
    <sheet name="LT - Vilnius" sheetId="26" state="hidden" r:id="rId26"/>
    <sheet name="CSI reference heating" sheetId="27" state="hidden" r:id="rId27"/>
    <sheet name="CSI reference cooling" sheetId="28" state="hidden" r:id="rId28"/>
  </sheets>
  <externalReferences>
    <externalReference r:id="rId31"/>
  </externalReferences>
  <definedNames>
    <definedName name="a_0C">'Input &amp; Results'!$D$101</definedName>
    <definedName name="a_0H">'Input &amp; Results'!$D$99</definedName>
    <definedName name="Absorption_coefficient">'Input &amp; Results'!$D$87</definedName>
    <definedName name="aC">'Calculation Q_Cooling'!$E$47:$P$47</definedName>
    <definedName name="aH">'Calculation Q_Heating'!$E$47:$P$47</definedName>
    <definedName name="Air_flow_rate">'Input &amp; Results'!$D$76</definedName>
    <definedName name="Air_flow_rate_mechanical_fraction">'Input &amp; Results'!$D$77</definedName>
    <definedName name="Building_mass">'Input &amp; Results'!$D$103</definedName>
    <definedName name="Climate">'Input &amp; Results'!$D$18</definedName>
    <definedName name="Climate_worksheets">'Input &amp; Results'!$C$153:$C$171</definedName>
    <definedName name="Cooling_energy_type">'Input &amp; Results'!$D$56</definedName>
    <definedName name="Cooling_system_efficiency">'Input &amp; Results'!$D$55</definedName>
    <definedName name="CSI_a1">'Input &amp; Results'!$D$122</definedName>
    <definedName name="CSI_a2">'Input &amp; Results'!$D$123</definedName>
    <definedName name="CSI_b1">'Input &amp; Results'!$D$124</definedName>
    <definedName name="CSI_b2">'Input &amp; Results'!$D$125</definedName>
    <definedName name="CSI_c">'Input &amp; Results'!$D$126</definedName>
    <definedName name="DHW_energy_type">'Input &amp; Results'!$D$62</definedName>
    <definedName name="DHW_need">'Input &amp; Results'!$D$115</definedName>
    <definedName name="DHW_system_efficiency">'Input &amp; Results'!$D$60</definedName>
    <definedName name="Difference_T_air_sky">'Input &amp; Results'!$D$96</definedName>
    <definedName name="East_door_area">'Input &amp; Results'!$D$34</definedName>
    <definedName name="East_opaque_wall_area">'Input &amp; Results'!$D$32</definedName>
    <definedName name="East_window_area">'Input &amp; Results'!$D$33</definedName>
    <definedName name="Emissivity">'Input &amp; Results'!$D$89</definedName>
    <definedName name="Energy_conversion_factor_electricity">'Input &amp; Results'!$D$119</definedName>
    <definedName name="Energy_conversion_factor_gas">'Input &amp; Results'!$D$118</definedName>
    <definedName name="Energy_use_fans_ME">'Input &amp; Results'!$D$111</definedName>
    <definedName name="Energy_use_fans_MV">'Input &amp; Results'!$D$112</definedName>
    <definedName name="Energy_use_fans_NV">'Input &amp; Results'!$D$110</definedName>
    <definedName name="eta_GH">'Calculation Q_Heating'!$E$49:$P$49</definedName>
    <definedName name="eta_LC">'Calculation Q_Cooling'!$E$49:$P$49</definedName>
    <definedName name="External_surface_heat_resistance">'Input &amp; Results'!$D$88</definedName>
    <definedName name="Floor_area">'Input &amp; Results'!$D$30</definedName>
    <definedName name="Form_factor_hor">'Input &amp; Results'!$D$92</definedName>
    <definedName name="Form_factor_vert">'Input &amp; Results'!$D$93</definedName>
    <definedName name="g_value">'Input &amp; Results'!$D$80</definedName>
    <definedName name="gamma_C">'Calculation Q_Cooling'!$E$48:$P$48</definedName>
    <definedName name="gamma_H">'Calculation Q_Heating'!$E$48:$P$48</definedName>
    <definedName name="Glazing_fraction">'Input &amp; Results'!$D$81</definedName>
    <definedName name="Heat_recovery_efficiency">'Input &amp; Results'!$D$47</definedName>
    <definedName name="Heating_energy_type">'Input &amp; Results'!$D$51</definedName>
    <definedName name="Heating_system_efficiency">'Input &amp; Results'!$D$50</definedName>
    <definedName name="Ht_C">'Calculation Q_Cooling'!$E$15:$P$15</definedName>
    <definedName name="Ht_H">'Calculation Q_Heating'!$E$15:$P$15</definedName>
    <definedName name="Hv_C">'Calculation Q_Cooling'!$E$19:$P$19</definedName>
    <definedName name="Hv_H">'Calculation Q_Heating'!$E$19:$P$19</definedName>
    <definedName name="Input_energy_conversion_factor_cooling">'Input &amp; Results'!$D$57</definedName>
    <definedName name="Input_energy_conversion_factor_DHW">'Input &amp; Results'!$D$63</definedName>
    <definedName name="Input_energy_conversion_factor_heating">'Input &amp; Results'!$D$52</definedName>
    <definedName name="Internal_heat_sources">'Input &amp; Results'!$D$73</definedName>
    <definedName name="Length_of_month" localSheetId="3">'Calculation Q_Cooling'!$E$11:$P$11</definedName>
    <definedName name="Length_of_month" localSheetId="27">'CSI reference cooling'!#REF!</definedName>
    <definedName name="Length_of_month" localSheetId="26">'CSI reference heating'!#REF!</definedName>
    <definedName name="Length_of_month">'Calculation Q_Heating'!$E$11:$P$11</definedName>
    <definedName name="Loss_coefficient_floor">'Input &amp; Results'!$D$106</definedName>
    <definedName name="MmExcelLinker_08EB405C_2F3B_4316_9D53_F60588752875">Input&amp;'[1]Results'!$Q$50:$Q$50</definedName>
    <definedName name="North_door_area">'Input &amp; Results'!$D$43</definedName>
    <definedName name="North_opaque_wall_area">'Input &amp; Results'!$D$41</definedName>
    <definedName name="North_window_area">'Input &amp; Results'!$D$42</definedName>
    <definedName name="Q_cooling_primary">'Calculation Q_Cooling'!$E$55</definedName>
    <definedName name="Q_CSI_C">'Calculation Q_Cooling'!$E$68</definedName>
    <definedName name="Q_CSI_C_ref">'CSI reference cooling'!$E$17</definedName>
    <definedName name="Q_CSI_H">'Calculation Q_Heating'!$E$68</definedName>
    <definedName name="Q_CSI_H_ref">'CSI reference heating'!$E$17</definedName>
    <definedName name="Q_CSI_tot_ref">'Input &amp; Results'!$K$25</definedName>
    <definedName name="Q_demDHW">'Calculation Q_DHW'!$E$11</definedName>
    <definedName name="Q_DHW_primary">'Calculation Q_DHW'!$E$13</definedName>
    <definedName name="Q_Fans">'Calculation Q_Fans'!$E$11</definedName>
    <definedName name="Q_Fans_primary">'Calculation Q_Fans'!$E$12</definedName>
    <definedName name="Q_genC">'Calculation Q_Cooling'!$E$54</definedName>
    <definedName name="Q_genDHW">'Calculation Q_DHW'!$E$12</definedName>
    <definedName name="Q_genH">'Calculation Q_Heating'!$E$54</definedName>
    <definedName name="Q_heating_primary">'Calculation Q_Heating'!$E$55</definedName>
    <definedName name="QdemDHW">'Calculation Q_DHW'!$E$11</definedName>
    <definedName name="QGC">'Calculation Q_Cooling'!$E$43:$P$43</definedName>
    <definedName name="QGH">'Calculation Q_Heating'!$E$43:$P$43</definedName>
    <definedName name="Qi_C">'Calculation Q_Cooling'!$E$23:$P$23</definedName>
    <definedName name="Qi_H">'Calculation Q_Heating'!$E$23:$P$23</definedName>
    <definedName name="QLC">'Calculation Q_Cooling'!$E$42:$P$42</definedName>
    <definedName name="QLH">'Calculation Q_Heating'!$E$42:$P$42</definedName>
    <definedName name="QNC">'Calculation Q_Cooling'!$E$53</definedName>
    <definedName name="QNH">'Calculation Q_Heating'!$E$53</definedName>
    <definedName name="Qsol_C">'Calculation Q_Cooling'!$E$39:$P$39</definedName>
    <definedName name="Qsol_H">'Calculation Q_Heating'!$E$39:$P$39</definedName>
    <definedName name="Qt_C">'Calculation Q_Cooling'!$E$16:$P$16</definedName>
    <definedName name="Qt_H">'Calculation Q_Heating'!$E$16:$P$16</definedName>
    <definedName name="Qv_C">'Calculation Q_Cooling'!$E$20:$P$20</definedName>
    <definedName name="Qv_H">'Calculation Q_Heating'!$E$20:$P$20</definedName>
    <definedName name="Reduction_DHW_need">'Input &amp; Results'!$D$61</definedName>
    <definedName name="Roof_area">'Input &amp; Results'!$D$31</definedName>
    <definedName name="Shading_device">'Input &amp; Results'!$D$84</definedName>
    <definedName name="South_door_area">'Input &amp; Results'!$D$37</definedName>
    <definedName name="South_opaque_wall_area">'Input &amp; Results'!$D$35</definedName>
    <definedName name="South_window_area">'Input &amp; Results'!$D$36</definedName>
    <definedName name="tau_0C">'Input &amp; Results'!$D$102</definedName>
    <definedName name="tau_0H">'Input &amp; Results'!$D$100</definedName>
    <definedName name="tau_C">'Calculation Q_Cooling'!$E$46:$P$46</definedName>
    <definedName name="tau_H">'Calculation Q_Heating'!$E$46:$P$46</definedName>
    <definedName name="Text_climate_sheet">'Input &amp; Results'!$D$19</definedName>
    <definedName name="Text_energy_conversion_cooling">'Input &amp; Results'!$C$57</definedName>
    <definedName name="Text_energy_conversion_DHW">'Input &amp; Results'!$C$63</definedName>
    <definedName name="Text_energy_conversion_heating">'Input &amp; Results'!$C$52</definedName>
    <definedName name="Thermal_bridges">'Input &amp; Results'!$D$107</definedName>
    <definedName name="Time_apr">'Climate data'!$H$14</definedName>
    <definedName name="Time_aug">'Climate data'!$L$14</definedName>
    <definedName name="Time_dec">'Climate data'!$P$14</definedName>
    <definedName name="Time_feb">'Climate data'!$F$14</definedName>
    <definedName name="Time_jan">'Climate data'!$E$14</definedName>
    <definedName name="Time_jul">'Climate data'!$K$14</definedName>
    <definedName name="Time_jun">'Climate data'!$J$14</definedName>
    <definedName name="Time_mar">'Climate data'!$G$14</definedName>
    <definedName name="Time_may">'Climate data'!$I$14</definedName>
    <definedName name="Time_nov">'Climate data'!$O$14</definedName>
    <definedName name="Time_oct">'Climate data'!$N$14</definedName>
    <definedName name="Time_sep">'Climate data'!$M$14</definedName>
    <definedName name="Total_usable_area">'Input &amp; Results'!$D$29</definedName>
    <definedName name="Tset_cooling">'Input &amp; Results'!$D$72</definedName>
    <definedName name="Tset_heating">'Input &amp; Results'!$D$71</definedName>
    <definedName name="U_door">'Input &amp; Results'!$D$25</definedName>
    <definedName name="U_floor">'Input &amp; Results'!$D$24</definedName>
    <definedName name="U_opaque_facade">'Input &amp; Results'!$D$22</definedName>
    <definedName name="U_opaque_roof">'Input &amp; Results'!$D$23</definedName>
    <definedName name="U_window">'Input &amp; Results'!$D$26</definedName>
    <definedName name="Ventilation_type">'Input &amp; Results'!$D$46</definedName>
    <definedName name="West_door_area">'Input &amp; Results'!$D$40</definedName>
    <definedName name="West_opaque_wall_area">'Input &amp; Results'!$D$38</definedName>
    <definedName name="West_window_area">'Input &amp; Results'!$D$39</definedName>
  </definedNames>
  <calcPr fullCalcOnLoad="1"/>
</workbook>
</file>

<file path=xl/comments2.xml><?xml version="1.0" encoding="utf-8"?>
<comments xmlns="http://schemas.openxmlformats.org/spreadsheetml/2006/main">
  <authors>
    <author>oeffelenecmv</author>
    <author>Marleen</author>
  </authors>
  <commentList>
    <comment ref="D96" authorId="0">
      <text>
        <r>
          <rPr>
            <sz val="8"/>
            <rFont val="Tahoma"/>
            <family val="2"/>
          </rPr>
          <t>- sub-polar areas: 9K
- intermediate zones: 11K
- tropics: 13K</t>
        </r>
      </text>
    </comment>
    <comment ref="C77" authorId="1">
      <text>
        <r>
          <rPr>
            <sz val="8"/>
            <rFont val="Tahoma"/>
            <family val="0"/>
          </rPr>
          <t xml:space="preserve">This value is only used when mechanical ventilation is present.
</t>
        </r>
      </text>
    </comment>
    <comment ref="C80" authorId="0">
      <text>
        <r>
          <rPr>
            <sz val="8"/>
            <rFont val="Tahoma"/>
            <family val="2"/>
          </rPr>
          <t>This value can be derived from the perpendicular g-value and a correction factor:
g-value = g-value perpendicular * Fw
Default values:
g-value perpendicular = 0.8
Fw = 0.9</t>
        </r>
      </text>
    </comment>
    <comment ref="C81" authorId="0">
      <text>
        <r>
          <rPr>
            <sz val="8"/>
            <rFont val="Tahoma"/>
            <family val="2"/>
          </rPr>
          <t>This fraction is derived from the frame area fraction (Ff):
Fgl = 1-Ff
Default values:
Ff = 0.25</t>
        </r>
      </text>
    </comment>
    <comment ref="C83" authorId="0">
      <text>
        <r>
          <rPr>
            <sz val="8"/>
            <rFont val="Tahoma"/>
            <family val="2"/>
          </rPr>
          <t>The shading device is only used for the calculation of Qcooling.</t>
        </r>
      </text>
    </comment>
    <comment ref="C119" authorId="0">
      <text>
        <r>
          <rPr>
            <sz val="8"/>
            <rFont val="Tahoma"/>
            <family val="2"/>
          </rPr>
          <t>The default value is based on an efficiency of 39% (1/0.39).</t>
        </r>
      </text>
    </comment>
    <comment ref="C111" authorId="0">
      <text>
        <r>
          <rPr>
            <sz val="8"/>
            <rFont val="Tahoma"/>
            <family val="2"/>
          </rPr>
          <t>The default value is based on air conditioning (AC).</t>
        </r>
      </text>
    </comment>
    <comment ref="C112" authorId="0">
      <text>
        <r>
          <rPr>
            <sz val="8"/>
            <rFont val="Tahoma"/>
            <family val="2"/>
          </rPr>
          <t>The default value is based on air conditioning (AC).</t>
        </r>
      </text>
    </comment>
    <comment ref="C18" authorId="0">
      <text>
        <r>
          <rPr>
            <sz val="8"/>
            <rFont val="Tahoma"/>
            <family val="2"/>
          </rPr>
          <t>If you would like to use your own set of monthly climate data you must select Climate 1, 2 or 3 in the listbox.
After selecting one of these options a climate sheet with the same name will appear after the input sheet (on the bottom of this page). 
You can enter your own monthly climate data in this sheet. This data sheet will be used for the calculation.</t>
        </r>
      </text>
    </comment>
    <comment ref="C57" authorId="0">
      <text>
        <r>
          <rPr>
            <sz val="8"/>
            <rFont val="Tahoma"/>
            <family val="2"/>
          </rPr>
          <t>Enter the value for the energy conversion factor for "other energy type" in the next cell.</t>
        </r>
      </text>
    </comment>
    <comment ref="C56" authorId="0">
      <text>
        <r>
          <rPr>
            <b/>
            <sz val="8"/>
            <rFont val="Tahoma"/>
            <family val="2"/>
          </rPr>
          <t>Gas en electricity</t>
        </r>
        <r>
          <rPr>
            <sz val="8"/>
            <rFont val="Tahoma"/>
            <family val="2"/>
          </rPr>
          <t xml:space="preserve">
For gas and electricity the energy conversion factor has a default value. This value can be changed in the fixed values and constants box below.
</t>
        </r>
        <r>
          <rPr>
            <b/>
            <sz val="8"/>
            <rFont val="Tahoma"/>
            <family val="2"/>
          </rPr>
          <t>Other energy type</t>
        </r>
        <r>
          <rPr>
            <sz val="8"/>
            <rFont val="Tahoma"/>
            <family val="2"/>
          </rPr>
          <t xml:space="preserve">
If another energy type is used, it is possible to enter your own energy conversion factor by selecting "other" in the list box and entering a value for the energy conversion factor. </t>
        </r>
      </text>
    </comment>
    <comment ref="C62" authorId="0">
      <text>
        <r>
          <rPr>
            <b/>
            <sz val="8"/>
            <rFont val="Tahoma"/>
            <family val="2"/>
          </rPr>
          <t>Gas en electricity</t>
        </r>
        <r>
          <rPr>
            <sz val="8"/>
            <rFont val="Tahoma"/>
            <family val="2"/>
          </rPr>
          <t xml:space="preserve">
For gas and electricity the energy conversion factor has a default value. This value can be changed in the fixed values and constants box below.
</t>
        </r>
        <r>
          <rPr>
            <b/>
            <sz val="8"/>
            <rFont val="Tahoma"/>
            <family val="2"/>
          </rPr>
          <t>Other energy type</t>
        </r>
        <r>
          <rPr>
            <sz val="8"/>
            <rFont val="Tahoma"/>
            <family val="2"/>
          </rPr>
          <t xml:space="preserve">
If another energy type is used, it is possible to enter your own energy conversion factor by selecting "other" in the list box and entering a value for the energy conversion factor. </t>
        </r>
      </text>
    </comment>
    <comment ref="C51" authorId="0">
      <text>
        <r>
          <rPr>
            <b/>
            <sz val="8"/>
            <rFont val="Tahoma"/>
            <family val="2"/>
          </rPr>
          <t>Gas en electricity</t>
        </r>
        <r>
          <rPr>
            <sz val="8"/>
            <rFont val="Tahoma"/>
            <family val="2"/>
          </rPr>
          <t xml:space="preserve">
For gas and electricity the energy conversion factor has a default value. This value can be changed in the fixed values and constants box below.
</t>
        </r>
        <r>
          <rPr>
            <b/>
            <sz val="8"/>
            <rFont val="Tahoma"/>
            <family val="2"/>
          </rPr>
          <t>Other energy type</t>
        </r>
        <r>
          <rPr>
            <sz val="8"/>
            <rFont val="Tahoma"/>
            <family val="2"/>
          </rPr>
          <t xml:space="preserve">
If another energy type is used, it is possible to enter your own energy conversion factor by selecting "other" in the list box and entering a value for the energy conversion factor. </t>
        </r>
      </text>
    </comment>
    <comment ref="C52" authorId="0">
      <text>
        <r>
          <rPr>
            <sz val="8"/>
            <rFont val="Tahoma"/>
            <family val="2"/>
          </rPr>
          <t>Enter the value for the energy conversion factor for "other energy type" in the next cell.</t>
        </r>
      </text>
    </comment>
    <comment ref="C63" authorId="0">
      <text>
        <r>
          <rPr>
            <sz val="8"/>
            <rFont val="Tahoma"/>
            <family val="2"/>
          </rPr>
          <t>Enter the value for the energy conversion factor for "other energy type" in the next cell.</t>
        </r>
      </text>
    </comment>
    <comment ref="C61" authorId="0">
      <text>
        <r>
          <rPr>
            <sz val="8"/>
            <rFont val="Tahoma"/>
            <family val="2"/>
          </rPr>
          <t>This factor (%) takes into account the reduction of the DHW need by a solar collector, shower water heat recovery etc.</t>
        </r>
      </text>
    </comment>
    <comment ref="C84" authorId="0">
      <text>
        <r>
          <rPr>
            <sz val="8"/>
            <rFont val="Tahoma"/>
            <family val="2"/>
          </rPr>
          <t>This shading reduction factor can be calculated according to formula 45 in EPA-NR (§6.6.2).</t>
        </r>
      </text>
    </comment>
  </commentList>
</comments>
</file>

<file path=xl/comments3.xml><?xml version="1.0" encoding="utf-8"?>
<comments xmlns="http://schemas.openxmlformats.org/spreadsheetml/2006/main">
  <authors>
    <author>oeffelenecmv</author>
  </authors>
  <commentList>
    <comment ref="C46" authorId="0">
      <text>
        <r>
          <rPr>
            <sz val="8"/>
            <rFont val="Tahoma"/>
            <family val="2"/>
          </rPr>
          <t>According to §6.8.3</t>
        </r>
      </text>
    </comment>
    <comment ref="C47" authorId="0">
      <text>
        <r>
          <rPr>
            <sz val="8"/>
            <rFont val="Tahoma"/>
            <family val="2"/>
          </rPr>
          <t xml:space="preserve">According to </t>
        </r>
        <r>
          <rPr>
            <sz val="8"/>
            <rFont val="Arial"/>
            <family val="0"/>
          </rPr>
          <t>§</t>
        </r>
        <r>
          <rPr>
            <sz val="8"/>
            <rFont val="Tahoma"/>
            <family val="2"/>
          </rPr>
          <t>6.8.1</t>
        </r>
      </text>
    </comment>
    <comment ref="C49" authorId="0">
      <text>
        <r>
          <rPr>
            <sz val="8"/>
            <rFont val="Tahoma"/>
            <family val="2"/>
          </rPr>
          <t>According to §6.8.1</t>
        </r>
      </text>
    </comment>
    <comment ref="C48" authorId="0">
      <text>
        <r>
          <rPr>
            <sz val="8"/>
            <rFont val="Tahoma"/>
            <family val="2"/>
          </rPr>
          <t>According to §6.8.1</t>
        </r>
      </text>
    </comment>
  </commentList>
</comments>
</file>

<file path=xl/comments4.xml><?xml version="1.0" encoding="utf-8"?>
<comments xmlns="http://schemas.openxmlformats.org/spreadsheetml/2006/main">
  <authors>
    <author>oeffelenecmv</author>
  </authors>
  <commentList>
    <comment ref="C46" authorId="0">
      <text>
        <r>
          <rPr>
            <sz val="8"/>
            <rFont val="Tahoma"/>
            <family val="2"/>
          </rPr>
          <t>According to §6.8.3</t>
        </r>
      </text>
    </comment>
    <comment ref="C47" authorId="0">
      <text>
        <r>
          <rPr>
            <sz val="8"/>
            <rFont val="Tahoma"/>
            <family val="2"/>
          </rPr>
          <t xml:space="preserve">According to </t>
        </r>
        <r>
          <rPr>
            <sz val="8"/>
            <rFont val="Arial"/>
            <family val="0"/>
          </rPr>
          <t>§</t>
        </r>
        <r>
          <rPr>
            <sz val="8"/>
            <rFont val="Tahoma"/>
            <family val="2"/>
          </rPr>
          <t>6.8.2</t>
        </r>
      </text>
    </comment>
    <comment ref="C49" authorId="0">
      <text>
        <r>
          <rPr>
            <sz val="8"/>
            <rFont val="Tahoma"/>
            <family val="2"/>
          </rPr>
          <t>According to §6.8.2</t>
        </r>
      </text>
    </comment>
    <comment ref="C48" authorId="0">
      <text>
        <r>
          <rPr>
            <sz val="8"/>
            <rFont val="Tahoma"/>
            <family val="2"/>
          </rPr>
          <t>According to §6.8.2</t>
        </r>
      </text>
    </comment>
  </commentList>
</comments>
</file>

<file path=xl/comments5.xml><?xml version="1.0" encoding="utf-8"?>
<comments xmlns="http://schemas.openxmlformats.org/spreadsheetml/2006/main">
  <authors>
    <author>oeffelenecmv</author>
  </authors>
  <commentList>
    <comment ref="C10" authorId="0">
      <text>
        <r>
          <rPr>
            <sz val="8"/>
            <rFont val="Tahoma"/>
            <family val="2"/>
          </rPr>
          <t xml:space="preserve">The calculation method is simplified compared to EPA-nr </t>
        </r>
        <r>
          <rPr>
            <sz val="8"/>
            <rFont val="Arial"/>
            <family val="0"/>
          </rPr>
          <t>§</t>
        </r>
        <r>
          <rPr>
            <sz val="8"/>
            <rFont val="Tahoma"/>
            <family val="2"/>
          </rPr>
          <t>6.9.5.</t>
        </r>
      </text>
    </comment>
  </commentList>
</comments>
</file>

<file path=xl/comments6.xml><?xml version="1.0" encoding="utf-8"?>
<comments xmlns="http://schemas.openxmlformats.org/spreadsheetml/2006/main">
  <authors>
    <author>oeffelenecmv</author>
  </authors>
  <commentList>
    <comment ref="C10" authorId="0">
      <text>
        <r>
          <rPr>
            <sz val="8"/>
            <rFont val="Tahoma"/>
            <family val="2"/>
          </rPr>
          <t>The calculation method is simplified compared to EPA-nr</t>
        </r>
        <r>
          <rPr>
            <sz val="8"/>
            <rFont val="Tahoma"/>
            <family val="2"/>
          </rPr>
          <t>.</t>
        </r>
      </text>
    </comment>
  </commentList>
</comments>
</file>

<file path=xl/sharedStrings.xml><?xml version="1.0" encoding="utf-8"?>
<sst xmlns="http://schemas.openxmlformats.org/spreadsheetml/2006/main" count="1013" uniqueCount="268">
  <si>
    <t>-</t>
  </si>
  <si>
    <t>MJ</t>
  </si>
  <si>
    <t>Ms</t>
  </si>
  <si>
    <t>h</t>
  </si>
  <si>
    <t>U-value opaque facade</t>
  </si>
  <si>
    <t>U-value opaque roof</t>
  </si>
  <si>
    <t>U-value floor</t>
  </si>
  <si>
    <t>U-value doors</t>
  </si>
  <si>
    <t>total usable area</t>
  </si>
  <si>
    <t>U-value windows (incl. glazing, frames, spacer)</t>
  </si>
  <si>
    <t>Indoor conditions</t>
  </si>
  <si>
    <t>W/K</t>
  </si>
  <si>
    <t>Heating system</t>
  </si>
  <si>
    <t>Climate data</t>
  </si>
  <si>
    <t>Outdoor temperature</t>
  </si>
  <si>
    <t>Solar radiation - East</t>
  </si>
  <si>
    <t>Solar radiation - South</t>
  </si>
  <si>
    <t>Solar radiation - West</t>
  </si>
  <si>
    <t>Solar radiation - North</t>
  </si>
  <si>
    <t>Dynamic parameters</t>
  </si>
  <si>
    <t>Time</t>
  </si>
  <si>
    <t>Transmission losses</t>
  </si>
  <si>
    <t>thermal bridges</t>
  </si>
  <si>
    <t>Fans</t>
  </si>
  <si>
    <t>Cooling system</t>
  </si>
  <si>
    <t>DHW</t>
  </si>
  <si>
    <t>gas</t>
  </si>
  <si>
    <t>This excel file contains the following worksheets:</t>
  </si>
  <si>
    <t>Calculation sheets:</t>
  </si>
  <si>
    <t>Calculation Q_Heating</t>
  </si>
  <si>
    <t>Calculation Q_Cooling</t>
  </si>
  <si>
    <t>Calculation Q_DHW</t>
  </si>
  <si>
    <t>calculates the energy need, delivered energy and primary energy use for space heating</t>
  </si>
  <si>
    <t>calculates the energy need, delivered energy and primary energy use for space cooling</t>
  </si>
  <si>
    <t>calculates the primary energy use for domestic hot water (DHW)</t>
  </si>
  <si>
    <t>calculates the primary energy use for fans</t>
  </si>
  <si>
    <t>Jan</t>
  </si>
  <si>
    <t>Feb</t>
  </si>
  <si>
    <t>Apr</t>
  </si>
  <si>
    <t>Jun</t>
  </si>
  <si>
    <t>Jul</t>
  </si>
  <si>
    <t>Aug</t>
  </si>
  <si>
    <t>Sep</t>
  </si>
  <si>
    <t>Nov</t>
  </si>
  <si>
    <t>Dec</t>
  </si>
  <si>
    <t>°C</t>
  </si>
  <si>
    <t>Solar radiation - Horizontal</t>
  </si>
  <si>
    <t>K</t>
  </si>
  <si>
    <t>NL - De Bilt</t>
  </si>
  <si>
    <r>
      <t>W/m</t>
    </r>
    <r>
      <rPr>
        <vertAlign val="superscript"/>
        <sz val="10"/>
        <rFont val="Arial"/>
        <family val="2"/>
      </rPr>
      <t>2</t>
    </r>
  </si>
  <si>
    <t>DE - Berlin</t>
  </si>
  <si>
    <t>BE - Brussels</t>
  </si>
  <si>
    <t>FR - Paris</t>
  </si>
  <si>
    <t>DK - Kobenhavn</t>
  </si>
  <si>
    <t>CZ - Praha</t>
  </si>
  <si>
    <t>ES - Madrid</t>
  </si>
  <si>
    <t>PL - Warszawa</t>
  </si>
  <si>
    <t>FI - Helsinki</t>
  </si>
  <si>
    <t>IT - Rome</t>
  </si>
  <si>
    <t>NO - Oslo</t>
  </si>
  <si>
    <t>Geometry</t>
  </si>
  <si>
    <t>Ventilation system</t>
  </si>
  <si>
    <t>Necessary input parameters</t>
  </si>
  <si>
    <r>
      <t>m</t>
    </r>
    <r>
      <rPr>
        <vertAlign val="superscript"/>
        <sz val="10"/>
        <rFont val="Arial"/>
        <family val="2"/>
      </rPr>
      <t>2</t>
    </r>
  </si>
  <si>
    <r>
      <t>m</t>
    </r>
    <r>
      <rPr>
        <vertAlign val="superscript"/>
        <sz val="10"/>
        <rFont val="Arial"/>
        <family val="2"/>
      </rPr>
      <t>2</t>
    </r>
  </si>
  <si>
    <r>
      <t>W/m</t>
    </r>
    <r>
      <rPr>
        <vertAlign val="superscript"/>
        <sz val="10"/>
        <rFont val="Arial"/>
        <family val="2"/>
      </rPr>
      <t>2</t>
    </r>
    <r>
      <rPr>
        <sz val="10"/>
        <rFont val="Arial"/>
        <family val="0"/>
      </rPr>
      <t>K</t>
    </r>
  </si>
  <si>
    <t>Opaque building element properties</t>
  </si>
  <si>
    <t>Window properties</t>
  </si>
  <si>
    <t>Shading devices</t>
  </si>
  <si>
    <r>
      <t>m</t>
    </r>
    <r>
      <rPr>
        <vertAlign val="superscript"/>
        <sz val="10"/>
        <rFont val="Arial"/>
        <family val="2"/>
      </rPr>
      <t>2</t>
    </r>
    <r>
      <rPr>
        <sz val="10"/>
        <rFont val="Arial"/>
        <family val="0"/>
      </rPr>
      <t>K/W</t>
    </r>
  </si>
  <si>
    <r>
      <t>J/Km</t>
    </r>
    <r>
      <rPr>
        <vertAlign val="superscript"/>
        <sz val="10"/>
        <rFont val="Arial"/>
        <family val="2"/>
      </rPr>
      <t>2</t>
    </r>
  </si>
  <si>
    <r>
      <t>kWh/m</t>
    </r>
    <r>
      <rPr>
        <vertAlign val="superscript"/>
        <sz val="10"/>
        <rFont val="Arial"/>
        <family val="2"/>
      </rPr>
      <t>2</t>
    </r>
  </si>
  <si>
    <r>
      <t>MJ/m</t>
    </r>
    <r>
      <rPr>
        <vertAlign val="superscript"/>
        <sz val="10"/>
        <rFont val="Arial"/>
        <family val="2"/>
      </rPr>
      <t>2</t>
    </r>
  </si>
  <si>
    <t xml:space="preserve">Ventilation </t>
  </si>
  <si>
    <t>Form factors</t>
  </si>
  <si>
    <t>Air and sky temperature</t>
  </si>
  <si>
    <t>Time (Ms)</t>
  </si>
  <si>
    <t>May</t>
  </si>
  <si>
    <t>Oct</t>
  </si>
  <si>
    <t>Mar</t>
  </si>
  <si>
    <t>Length of month</t>
  </si>
  <si>
    <r>
      <t>absorption coefficient for solar radiation (</t>
    </r>
    <r>
      <rPr>
        <i/>
        <sz val="10"/>
        <rFont val="Arial"/>
        <family val="2"/>
      </rPr>
      <t>α</t>
    </r>
    <r>
      <rPr>
        <vertAlign val="subscript"/>
        <sz val="10"/>
        <rFont val="Arial"/>
        <family val="2"/>
      </rPr>
      <t>S,c</t>
    </r>
    <r>
      <rPr>
        <sz val="10"/>
        <rFont val="Arial"/>
        <family val="0"/>
      </rPr>
      <t>)</t>
    </r>
  </si>
  <si>
    <r>
      <t>glazing fraction (</t>
    </r>
    <r>
      <rPr>
        <i/>
        <sz val="10"/>
        <rFont val="Arial"/>
        <family val="2"/>
      </rPr>
      <t>f</t>
    </r>
    <r>
      <rPr>
        <vertAlign val="subscript"/>
        <sz val="10"/>
        <rFont val="Arial"/>
        <family val="2"/>
      </rPr>
      <t>gl</t>
    </r>
    <r>
      <rPr>
        <sz val="10"/>
        <rFont val="Arial"/>
        <family val="2"/>
      </rPr>
      <t>)</t>
    </r>
  </si>
  <si>
    <r>
      <t>g-value glazing (</t>
    </r>
    <r>
      <rPr>
        <i/>
        <sz val="10"/>
        <rFont val="Arial"/>
        <family val="2"/>
      </rPr>
      <t>g</t>
    </r>
    <r>
      <rPr>
        <vertAlign val="subscript"/>
        <sz val="10"/>
        <rFont val="Arial"/>
        <family val="2"/>
      </rPr>
      <t>g</t>
    </r>
    <r>
      <rPr>
        <sz val="10"/>
        <rFont val="Arial"/>
        <family val="0"/>
      </rPr>
      <t>)</t>
    </r>
  </si>
  <si>
    <r>
      <t>external surface heat resistance (</t>
    </r>
    <r>
      <rPr>
        <i/>
        <sz val="10"/>
        <rFont val="Arial"/>
        <family val="2"/>
      </rPr>
      <t>R</t>
    </r>
    <r>
      <rPr>
        <vertAlign val="subscript"/>
        <sz val="10"/>
        <rFont val="Arial"/>
        <family val="2"/>
      </rPr>
      <t>se</t>
    </r>
    <r>
      <rPr>
        <sz val="10"/>
        <rFont val="Arial"/>
        <family val="0"/>
      </rPr>
      <t>)</t>
    </r>
  </si>
  <si>
    <r>
      <t>emissivity for thermal radiation of the external surface (</t>
    </r>
    <r>
      <rPr>
        <i/>
        <sz val="10"/>
        <rFont val="Arial"/>
        <family val="2"/>
      </rPr>
      <t>ε</t>
    </r>
    <r>
      <rPr>
        <sz val="10"/>
        <rFont val="Arial"/>
        <family val="0"/>
      </rPr>
      <t>)</t>
    </r>
  </si>
  <si>
    <r>
      <t>shading reduction factor movable shading device cooling (</t>
    </r>
    <r>
      <rPr>
        <i/>
        <sz val="10"/>
        <rFont val="Arial"/>
        <family val="2"/>
      </rPr>
      <t>F</t>
    </r>
    <r>
      <rPr>
        <vertAlign val="subscript"/>
        <sz val="10"/>
        <rFont val="Arial"/>
        <family val="2"/>
      </rPr>
      <t>sh,g,C</t>
    </r>
    <r>
      <rPr>
        <sz val="10"/>
        <rFont val="Arial"/>
        <family val="0"/>
      </rPr>
      <t>)</t>
    </r>
  </si>
  <si>
    <r>
      <t>indoor setpoint temperature for heating (</t>
    </r>
    <r>
      <rPr>
        <i/>
        <sz val="10"/>
        <rFont val="Arial"/>
        <family val="2"/>
      </rPr>
      <t>θ</t>
    </r>
    <r>
      <rPr>
        <vertAlign val="subscript"/>
        <sz val="10"/>
        <rFont val="Arial"/>
        <family val="2"/>
      </rPr>
      <t>i,H</t>
    </r>
    <r>
      <rPr>
        <sz val="10"/>
        <rFont val="Arial"/>
        <family val="0"/>
      </rPr>
      <t>)</t>
    </r>
  </si>
  <si>
    <r>
      <t>indoor setpoint temperature for cooling (</t>
    </r>
    <r>
      <rPr>
        <i/>
        <sz val="10"/>
        <rFont val="Arial"/>
        <family val="2"/>
      </rPr>
      <t>θ</t>
    </r>
    <r>
      <rPr>
        <vertAlign val="subscript"/>
        <sz val="10"/>
        <rFont val="Arial"/>
        <family val="2"/>
      </rPr>
      <t>i,C</t>
    </r>
    <r>
      <rPr>
        <sz val="10"/>
        <rFont val="Arial"/>
        <family val="0"/>
      </rPr>
      <t>)</t>
    </r>
  </si>
  <si>
    <r>
      <t>form factor, unshaded horizontal roof (</t>
    </r>
    <r>
      <rPr>
        <i/>
        <sz val="10"/>
        <rFont val="Arial"/>
        <family val="2"/>
      </rPr>
      <t>F</t>
    </r>
    <r>
      <rPr>
        <vertAlign val="subscript"/>
        <sz val="10"/>
        <rFont val="Arial"/>
        <family val="2"/>
      </rPr>
      <t>r,k</t>
    </r>
    <r>
      <rPr>
        <sz val="10"/>
        <rFont val="Arial"/>
        <family val="0"/>
      </rPr>
      <t>)</t>
    </r>
  </si>
  <si>
    <r>
      <t>form factor, unshaded vertical wall (</t>
    </r>
    <r>
      <rPr>
        <i/>
        <sz val="10"/>
        <rFont val="Arial"/>
        <family val="2"/>
      </rPr>
      <t>F</t>
    </r>
    <r>
      <rPr>
        <vertAlign val="subscript"/>
        <sz val="10"/>
        <rFont val="Arial"/>
        <family val="2"/>
      </rPr>
      <t>r,k</t>
    </r>
    <r>
      <rPr>
        <sz val="10"/>
        <rFont val="Arial"/>
        <family val="0"/>
      </rPr>
      <t>)</t>
    </r>
  </si>
  <si>
    <r>
      <t>Φ</t>
    </r>
    <r>
      <rPr>
        <vertAlign val="subscript"/>
        <sz val="10"/>
        <rFont val="Arial"/>
        <family val="2"/>
      </rPr>
      <t>sol,mn,east,window</t>
    </r>
  </si>
  <si>
    <r>
      <t>Φ</t>
    </r>
    <r>
      <rPr>
        <vertAlign val="subscript"/>
        <sz val="10"/>
        <rFont val="Arial"/>
        <family val="2"/>
      </rPr>
      <t>sol,mn,south,window</t>
    </r>
  </si>
  <si>
    <r>
      <t>Φ</t>
    </r>
    <r>
      <rPr>
        <vertAlign val="subscript"/>
        <sz val="10"/>
        <rFont val="Arial"/>
        <family val="2"/>
      </rPr>
      <t>sol,mn,west,window</t>
    </r>
  </si>
  <si>
    <r>
      <t>Φ</t>
    </r>
    <r>
      <rPr>
        <vertAlign val="subscript"/>
        <sz val="10"/>
        <rFont val="Arial"/>
        <family val="2"/>
      </rPr>
      <t>sol,mn,north,window</t>
    </r>
  </si>
  <si>
    <r>
      <t>Φ</t>
    </r>
    <r>
      <rPr>
        <vertAlign val="subscript"/>
        <sz val="10"/>
        <rFont val="Arial"/>
        <family val="2"/>
      </rPr>
      <t>sol,mn,east,wall</t>
    </r>
  </si>
  <si>
    <r>
      <t>Φ</t>
    </r>
    <r>
      <rPr>
        <vertAlign val="subscript"/>
        <sz val="10"/>
        <rFont val="Arial"/>
        <family val="2"/>
      </rPr>
      <t>sol,mn,south,wall</t>
    </r>
  </si>
  <si>
    <r>
      <t>Φ</t>
    </r>
    <r>
      <rPr>
        <vertAlign val="subscript"/>
        <sz val="10"/>
        <rFont val="Arial"/>
        <family val="2"/>
      </rPr>
      <t>sol,mn,west,wall</t>
    </r>
  </si>
  <si>
    <r>
      <t>Φ</t>
    </r>
    <r>
      <rPr>
        <vertAlign val="subscript"/>
        <sz val="10"/>
        <rFont val="Arial"/>
        <family val="2"/>
      </rPr>
      <t>sol,mn,north,wall</t>
    </r>
  </si>
  <si>
    <r>
      <t>Φ</t>
    </r>
    <r>
      <rPr>
        <vertAlign val="subscript"/>
        <sz val="10"/>
        <rFont val="Arial"/>
        <family val="2"/>
      </rPr>
      <t>sol,mn,roof</t>
    </r>
  </si>
  <si>
    <t>W</t>
  </si>
  <si>
    <r>
      <t>Q</t>
    </r>
    <r>
      <rPr>
        <vertAlign val="subscript"/>
        <sz val="10"/>
        <rFont val="Arial"/>
        <family val="2"/>
      </rPr>
      <t>sol</t>
    </r>
  </si>
  <si>
    <t>Internal heat sources (§6.4)</t>
  </si>
  <si>
    <r>
      <t>Q</t>
    </r>
    <r>
      <rPr>
        <vertAlign val="subscript"/>
        <sz val="10"/>
        <rFont val="Arial"/>
        <family val="2"/>
      </rPr>
      <t>i</t>
    </r>
  </si>
  <si>
    <r>
      <t>Q</t>
    </r>
    <r>
      <rPr>
        <vertAlign val="subscript"/>
        <sz val="10"/>
        <rFont val="Arial"/>
        <family val="2"/>
      </rPr>
      <t>G,H</t>
    </r>
  </si>
  <si>
    <t>Heat transfer by transmission (§6.2)</t>
  </si>
  <si>
    <r>
      <t>H</t>
    </r>
    <r>
      <rPr>
        <vertAlign val="subscript"/>
        <sz val="10"/>
        <rFont val="Arial"/>
        <family val="2"/>
      </rPr>
      <t>T</t>
    </r>
  </si>
  <si>
    <r>
      <t>Q</t>
    </r>
    <r>
      <rPr>
        <vertAlign val="subscript"/>
        <sz val="10"/>
        <rFont val="Arial"/>
        <family val="2"/>
      </rPr>
      <t>T</t>
    </r>
  </si>
  <si>
    <t>Heat transfer by ventilation (§6.3)</t>
  </si>
  <si>
    <r>
      <t>H</t>
    </r>
    <r>
      <rPr>
        <vertAlign val="subscript"/>
        <sz val="10"/>
        <rFont val="Arial"/>
        <family val="2"/>
      </rPr>
      <t>V;adj</t>
    </r>
  </si>
  <si>
    <r>
      <t>Q</t>
    </r>
    <r>
      <rPr>
        <vertAlign val="subscript"/>
        <sz val="10"/>
        <rFont val="Arial"/>
        <family val="2"/>
      </rPr>
      <t>V</t>
    </r>
  </si>
  <si>
    <t>Total heat transfer and heat sources (§6.1.3)</t>
  </si>
  <si>
    <r>
      <t>Q</t>
    </r>
    <r>
      <rPr>
        <vertAlign val="subscript"/>
        <sz val="10"/>
        <rFont val="Arial"/>
        <family val="2"/>
      </rPr>
      <t>L,H</t>
    </r>
  </si>
  <si>
    <t>Energy need for heating (§6.1.1)</t>
  </si>
  <si>
    <r>
      <t>Q</t>
    </r>
    <r>
      <rPr>
        <vertAlign val="subscript"/>
        <sz val="10"/>
        <rFont val="Arial"/>
        <family val="2"/>
      </rPr>
      <t>NH</t>
    </r>
  </si>
  <si>
    <r>
      <t>η</t>
    </r>
    <r>
      <rPr>
        <vertAlign val="subscript"/>
        <sz val="10"/>
        <rFont val="Arial"/>
        <family val="2"/>
      </rPr>
      <t>G,H</t>
    </r>
  </si>
  <si>
    <r>
      <t>a</t>
    </r>
    <r>
      <rPr>
        <vertAlign val="subscript"/>
        <sz val="10"/>
        <rFont val="Arial"/>
        <family val="2"/>
      </rPr>
      <t>0,H</t>
    </r>
  </si>
  <si>
    <r>
      <t>a</t>
    </r>
    <r>
      <rPr>
        <vertAlign val="subscript"/>
        <sz val="10"/>
        <rFont val="Arial"/>
        <family val="2"/>
      </rPr>
      <t>0,C</t>
    </r>
  </si>
  <si>
    <r>
      <t>τ</t>
    </r>
    <r>
      <rPr>
        <vertAlign val="subscript"/>
        <sz val="10"/>
        <rFont val="Arial"/>
        <family val="2"/>
      </rPr>
      <t>0,H</t>
    </r>
  </si>
  <si>
    <r>
      <t>τ</t>
    </r>
    <r>
      <rPr>
        <vertAlign val="subscript"/>
        <sz val="10"/>
        <rFont val="Arial"/>
        <family val="2"/>
      </rPr>
      <t>0,C</t>
    </r>
  </si>
  <si>
    <t>τ</t>
  </si>
  <si>
    <r>
      <t>a</t>
    </r>
    <r>
      <rPr>
        <vertAlign val="subscript"/>
        <sz val="10"/>
        <rFont val="Arial"/>
        <family val="2"/>
      </rPr>
      <t>H</t>
    </r>
  </si>
  <si>
    <r>
      <t>γ</t>
    </r>
    <r>
      <rPr>
        <i/>
        <vertAlign val="subscript"/>
        <sz val="10"/>
        <rFont val="Arial"/>
        <family val="2"/>
      </rPr>
      <t>H</t>
    </r>
  </si>
  <si>
    <t>Annual energy use for heating (§6.9.2)</t>
  </si>
  <si>
    <t>MJ primary</t>
  </si>
  <si>
    <r>
      <t>Q</t>
    </r>
    <r>
      <rPr>
        <vertAlign val="subscript"/>
        <sz val="10"/>
        <rFont val="Arial"/>
        <family val="2"/>
      </rPr>
      <t>gen,H</t>
    </r>
  </si>
  <si>
    <r>
      <t>Q</t>
    </r>
    <r>
      <rPr>
        <vertAlign val="subscript"/>
        <sz val="10"/>
        <rFont val="Arial"/>
        <family val="2"/>
      </rPr>
      <t>prim,H</t>
    </r>
  </si>
  <si>
    <t>Energy conversion factor</t>
  </si>
  <si>
    <t>reduction DHW need</t>
  </si>
  <si>
    <t>energy type</t>
  </si>
  <si>
    <t>ventilation type</t>
  </si>
  <si>
    <t>Month</t>
  </si>
  <si>
    <t>floor area</t>
  </si>
  <si>
    <t>roof area (opaque)</t>
  </si>
  <si>
    <t>east facade - opaque wall area</t>
  </si>
  <si>
    <t>east facade - window area</t>
  </si>
  <si>
    <t>south facade - opaque wall area</t>
  </si>
  <si>
    <t>south facade - window area</t>
  </si>
  <si>
    <t>west facade - opaque wall area</t>
  </si>
  <si>
    <t>west facade - window area</t>
  </si>
  <si>
    <t>north facade - opaque wall area</t>
  </si>
  <si>
    <t>north facade - window area</t>
  </si>
  <si>
    <r>
      <t>Q</t>
    </r>
    <r>
      <rPr>
        <vertAlign val="subscript"/>
        <sz val="10"/>
        <rFont val="Arial"/>
        <family val="2"/>
      </rPr>
      <t>L,C</t>
    </r>
  </si>
  <si>
    <r>
      <t>Q</t>
    </r>
    <r>
      <rPr>
        <vertAlign val="subscript"/>
        <sz val="10"/>
        <rFont val="Arial"/>
        <family val="2"/>
      </rPr>
      <t>G,C</t>
    </r>
  </si>
  <si>
    <r>
      <t>a</t>
    </r>
    <r>
      <rPr>
        <vertAlign val="subscript"/>
        <sz val="10"/>
        <rFont val="Arial"/>
        <family val="2"/>
      </rPr>
      <t>C</t>
    </r>
  </si>
  <si>
    <r>
      <t>γ</t>
    </r>
    <r>
      <rPr>
        <i/>
        <vertAlign val="subscript"/>
        <sz val="10"/>
        <rFont val="Arial"/>
        <family val="2"/>
      </rPr>
      <t>C</t>
    </r>
  </si>
  <si>
    <r>
      <t>Q</t>
    </r>
    <r>
      <rPr>
        <vertAlign val="subscript"/>
        <sz val="10"/>
        <rFont val="Arial"/>
        <family val="2"/>
      </rPr>
      <t>NC</t>
    </r>
  </si>
  <si>
    <r>
      <t>η</t>
    </r>
    <r>
      <rPr>
        <vertAlign val="subscript"/>
        <sz val="10"/>
        <rFont val="Arial"/>
        <family val="2"/>
      </rPr>
      <t>L,C</t>
    </r>
  </si>
  <si>
    <t>DHW need</t>
  </si>
  <si>
    <r>
      <t>Q</t>
    </r>
    <r>
      <rPr>
        <vertAlign val="subscript"/>
        <sz val="10"/>
        <rFont val="Arial"/>
        <family val="2"/>
      </rPr>
      <t>dem,DHW</t>
    </r>
  </si>
  <si>
    <r>
      <t>Q</t>
    </r>
    <r>
      <rPr>
        <vertAlign val="subscript"/>
        <sz val="10"/>
        <rFont val="Arial"/>
        <family val="2"/>
      </rPr>
      <t>gen,DHW</t>
    </r>
  </si>
  <si>
    <r>
      <t>Q</t>
    </r>
    <r>
      <rPr>
        <vertAlign val="subscript"/>
        <sz val="10"/>
        <rFont val="Arial"/>
        <family val="2"/>
      </rPr>
      <t>prim,DHW</t>
    </r>
  </si>
  <si>
    <r>
      <t>Calculation energy use heating (</t>
    </r>
    <r>
      <rPr>
        <i/>
        <sz val="10"/>
        <rFont val="Arial"/>
        <family val="2"/>
      </rPr>
      <t>Q</t>
    </r>
    <r>
      <rPr>
        <b/>
        <vertAlign val="subscript"/>
        <sz val="10"/>
        <rFont val="Arial"/>
        <family val="2"/>
      </rPr>
      <t>prim,H</t>
    </r>
    <r>
      <rPr>
        <b/>
        <sz val="10"/>
        <rFont val="Arial"/>
        <family val="2"/>
      </rPr>
      <t>)</t>
    </r>
  </si>
  <si>
    <r>
      <t>Calculation energy use cooling (</t>
    </r>
    <r>
      <rPr>
        <i/>
        <sz val="10"/>
        <rFont val="Arial"/>
        <family val="2"/>
      </rPr>
      <t>Q</t>
    </r>
    <r>
      <rPr>
        <b/>
        <vertAlign val="subscript"/>
        <sz val="10"/>
        <rFont val="Arial"/>
        <family val="2"/>
      </rPr>
      <t>prim,C</t>
    </r>
    <r>
      <rPr>
        <b/>
        <sz val="10"/>
        <rFont val="Arial"/>
        <family val="2"/>
      </rPr>
      <t>)</t>
    </r>
  </si>
  <si>
    <r>
      <t>Calculation energy use domestic hot water (</t>
    </r>
    <r>
      <rPr>
        <i/>
        <sz val="10"/>
        <rFont val="Arial"/>
        <family val="2"/>
      </rPr>
      <t>Q</t>
    </r>
    <r>
      <rPr>
        <b/>
        <vertAlign val="subscript"/>
        <sz val="10"/>
        <rFont val="Arial"/>
        <family val="2"/>
      </rPr>
      <t>prim,DHW</t>
    </r>
    <r>
      <rPr>
        <b/>
        <sz val="10"/>
        <rFont val="Arial"/>
        <family val="2"/>
      </rPr>
      <t>)</t>
    </r>
  </si>
  <si>
    <t>Annual energy use for domestic hot water</t>
  </si>
  <si>
    <r>
      <t>Calculation energy use fans (</t>
    </r>
    <r>
      <rPr>
        <i/>
        <sz val="10"/>
        <rFont val="Arial"/>
        <family val="2"/>
      </rPr>
      <t>Q</t>
    </r>
    <r>
      <rPr>
        <b/>
        <vertAlign val="subscript"/>
        <sz val="10"/>
        <rFont val="Arial"/>
        <family val="2"/>
      </rPr>
      <t>prim,Fans</t>
    </r>
    <r>
      <rPr>
        <b/>
        <sz val="10"/>
        <rFont val="Arial"/>
        <family val="2"/>
      </rPr>
      <t>)</t>
    </r>
  </si>
  <si>
    <t>Annual energy use for fans</t>
  </si>
  <si>
    <r>
      <t>Q</t>
    </r>
    <r>
      <rPr>
        <vertAlign val="subscript"/>
        <sz val="10"/>
        <rFont val="Arial"/>
        <family val="2"/>
      </rPr>
      <t>prim,Fans</t>
    </r>
  </si>
  <si>
    <t>energy use in case of natural ventilation</t>
  </si>
  <si>
    <r>
      <t>Q</t>
    </r>
    <r>
      <rPr>
        <vertAlign val="subscript"/>
        <sz val="10"/>
        <rFont val="Arial"/>
        <family val="2"/>
      </rPr>
      <t>Fans</t>
    </r>
  </si>
  <si>
    <r>
      <t>Q</t>
    </r>
    <r>
      <rPr>
        <vertAlign val="subscript"/>
        <sz val="10"/>
        <rFont val="Arial"/>
        <family val="2"/>
      </rPr>
      <t>prim,C</t>
    </r>
  </si>
  <si>
    <r>
      <t>air flow rate (infiltration and ventilation) per m</t>
    </r>
    <r>
      <rPr>
        <vertAlign val="superscript"/>
        <sz val="10"/>
        <rFont val="Arial"/>
        <family val="2"/>
      </rPr>
      <t>2</t>
    </r>
  </si>
  <si>
    <t>mechanical fraction of total air flow rate</t>
  </si>
  <si>
    <t>east facade - door area</t>
  </si>
  <si>
    <t>south facade - door area</t>
  </si>
  <si>
    <t>west facade - door area</t>
  </si>
  <si>
    <t>north facade - door area</t>
  </si>
  <si>
    <r>
      <t>loss coefficient floor (</t>
    </r>
    <r>
      <rPr>
        <i/>
        <sz val="10"/>
        <rFont val="Arial"/>
        <family val="2"/>
      </rPr>
      <t>b</t>
    </r>
    <r>
      <rPr>
        <vertAlign val="subscript"/>
        <sz val="10"/>
        <rFont val="Arial"/>
        <family val="2"/>
      </rPr>
      <t>tr,floor</t>
    </r>
    <r>
      <rPr>
        <sz val="10"/>
        <rFont val="Arial"/>
        <family val="0"/>
      </rPr>
      <t>)</t>
    </r>
  </si>
  <si>
    <r>
      <t>Φ</t>
    </r>
    <r>
      <rPr>
        <vertAlign val="subscript"/>
        <sz val="10"/>
        <rFont val="Arial"/>
        <family val="2"/>
      </rPr>
      <t>sol,mn,east,door</t>
    </r>
  </si>
  <si>
    <r>
      <t>Φ</t>
    </r>
    <r>
      <rPr>
        <vertAlign val="subscript"/>
        <sz val="10"/>
        <rFont val="Arial"/>
        <family val="2"/>
      </rPr>
      <t>sol,mn,south,door</t>
    </r>
  </si>
  <si>
    <r>
      <t>Φ</t>
    </r>
    <r>
      <rPr>
        <vertAlign val="subscript"/>
        <sz val="10"/>
        <rFont val="Arial"/>
        <family val="2"/>
      </rPr>
      <t>sol,mn,west,door</t>
    </r>
  </si>
  <si>
    <r>
      <t>Φ</t>
    </r>
    <r>
      <rPr>
        <vertAlign val="subscript"/>
        <sz val="10"/>
        <rFont val="Arial"/>
        <family val="2"/>
      </rPr>
      <t>sol,mn,north,door</t>
    </r>
  </si>
  <si>
    <t>Climate 1</t>
  </si>
  <si>
    <t>Climate 2</t>
  </si>
  <si>
    <t>Climate 3</t>
  </si>
  <si>
    <t>Climate sheets:</t>
  </si>
  <si>
    <t>contains all input parameters and calculation results</t>
  </si>
  <si>
    <t>This spreadsheet is based on the calculation method of EPA-NR (Functional specifications of the EPA-NR software, june 2007 - Report Number: 2007-D-R0292/B)</t>
  </si>
  <si>
    <t xml:space="preserve">At some parts the calculation method in this spreadsheet is simplified compared to EPA-NR. These simplifications are mentioned in the calculation sheets in comment boxes. </t>
  </si>
  <si>
    <t>W/m2</t>
  </si>
  <si>
    <r>
      <t>total cooling system efficiency (</t>
    </r>
    <r>
      <rPr>
        <i/>
        <sz val="10"/>
        <rFont val="Arial"/>
        <family val="2"/>
      </rPr>
      <t>η</t>
    </r>
    <r>
      <rPr>
        <vertAlign val="subscript"/>
        <sz val="10"/>
        <rFont val="Arial"/>
        <family val="2"/>
      </rPr>
      <t>C</t>
    </r>
    <r>
      <rPr>
        <sz val="10"/>
        <rFont val="Arial"/>
        <family val="0"/>
      </rPr>
      <t>)</t>
    </r>
  </si>
  <si>
    <r>
      <t>total DHW system efficiency (</t>
    </r>
    <r>
      <rPr>
        <i/>
        <sz val="10"/>
        <rFont val="Arial"/>
        <family val="2"/>
      </rPr>
      <t>η</t>
    </r>
    <r>
      <rPr>
        <vertAlign val="subscript"/>
        <sz val="10"/>
        <rFont val="Arial"/>
        <family val="2"/>
      </rPr>
      <t>DHW</t>
    </r>
    <r>
      <rPr>
        <sz val="10"/>
        <rFont val="Arial"/>
        <family val="0"/>
      </rPr>
      <t>)</t>
    </r>
  </si>
  <si>
    <t>Domestic hot water (DHW) system</t>
  </si>
  <si>
    <r>
      <t>heat recovery efficiency (</t>
    </r>
    <r>
      <rPr>
        <i/>
        <sz val="10"/>
        <rFont val="Arial"/>
        <family val="2"/>
      </rPr>
      <t>η</t>
    </r>
    <r>
      <rPr>
        <vertAlign val="subscript"/>
        <sz val="10"/>
        <rFont val="Arial"/>
        <family val="2"/>
      </rPr>
      <t>hru</t>
    </r>
    <r>
      <rPr>
        <sz val="10"/>
        <rFont val="Arial"/>
        <family val="0"/>
      </rPr>
      <t>) (bypassed in summer)</t>
    </r>
  </si>
  <si>
    <t>Climate worksheets</t>
  </si>
  <si>
    <t>climate</t>
  </si>
  <si>
    <t>Climate severity index constants</t>
  </si>
  <si>
    <t>c</t>
  </si>
  <si>
    <t>Climate severity index variables</t>
  </si>
  <si>
    <r>
      <t>q</t>
    </r>
    <r>
      <rPr>
        <vertAlign val="subscript"/>
        <sz val="10"/>
        <rFont val="Arial"/>
        <family val="2"/>
      </rPr>
      <t>sol, average</t>
    </r>
  </si>
  <si>
    <r>
      <t>Q</t>
    </r>
    <r>
      <rPr>
        <vertAlign val="subscript"/>
        <sz val="10"/>
        <rFont val="Arial"/>
        <family val="2"/>
      </rPr>
      <t>CSI,H</t>
    </r>
  </si>
  <si>
    <r>
      <t>b</t>
    </r>
    <r>
      <rPr>
        <vertAlign val="subscript"/>
        <sz val="10"/>
        <rFont val="Arial"/>
        <family val="2"/>
      </rPr>
      <t>H</t>
    </r>
  </si>
  <si>
    <r>
      <t>c</t>
    </r>
    <r>
      <rPr>
        <vertAlign val="subscript"/>
        <sz val="10"/>
        <rFont val="Arial"/>
        <family val="2"/>
      </rPr>
      <t>H</t>
    </r>
  </si>
  <si>
    <r>
      <t>Calculation energy use climate severity index heating (</t>
    </r>
    <r>
      <rPr>
        <i/>
        <sz val="10"/>
        <rFont val="Arial"/>
        <family val="2"/>
      </rPr>
      <t>Q</t>
    </r>
    <r>
      <rPr>
        <b/>
        <vertAlign val="subscript"/>
        <sz val="10"/>
        <rFont val="Arial"/>
        <family val="2"/>
      </rPr>
      <t>CSI,H</t>
    </r>
    <r>
      <rPr>
        <b/>
        <sz val="10"/>
        <rFont val="Arial"/>
        <family val="2"/>
      </rPr>
      <t>)</t>
    </r>
  </si>
  <si>
    <r>
      <t>Calculation energy use climate severity index cooling (</t>
    </r>
    <r>
      <rPr>
        <i/>
        <sz val="10"/>
        <rFont val="Arial"/>
        <family val="2"/>
      </rPr>
      <t>Q</t>
    </r>
    <r>
      <rPr>
        <b/>
        <vertAlign val="subscript"/>
        <sz val="10"/>
        <rFont val="Arial"/>
        <family val="2"/>
      </rPr>
      <t>CSI,C</t>
    </r>
    <r>
      <rPr>
        <b/>
        <sz val="10"/>
        <rFont val="Arial"/>
        <family val="2"/>
      </rPr>
      <t>)</t>
    </r>
  </si>
  <si>
    <r>
      <t>b</t>
    </r>
    <r>
      <rPr>
        <vertAlign val="subscript"/>
        <sz val="10"/>
        <rFont val="Arial"/>
        <family val="2"/>
      </rPr>
      <t>C</t>
    </r>
  </si>
  <si>
    <r>
      <t>c</t>
    </r>
    <r>
      <rPr>
        <vertAlign val="subscript"/>
        <sz val="10"/>
        <rFont val="Arial"/>
        <family val="2"/>
      </rPr>
      <t>C</t>
    </r>
  </si>
  <si>
    <r>
      <t>Q</t>
    </r>
    <r>
      <rPr>
        <vertAlign val="subscript"/>
        <sz val="10"/>
        <rFont val="Arial"/>
        <family val="2"/>
      </rPr>
      <t>CSI,C</t>
    </r>
  </si>
  <si>
    <t>Energy need for cooling (§6.1.1)</t>
  </si>
  <si>
    <t>Annual energy use for cooling (§6.9.2)</t>
  </si>
  <si>
    <r>
      <t>Energy use climate severity index heating (</t>
    </r>
    <r>
      <rPr>
        <b/>
        <i/>
        <sz val="10"/>
        <color indexed="9"/>
        <rFont val="Arial"/>
        <family val="2"/>
      </rPr>
      <t>Q</t>
    </r>
    <r>
      <rPr>
        <b/>
        <vertAlign val="subscript"/>
        <sz val="10"/>
        <color indexed="9"/>
        <rFont val="Arial"/>
        <family val="2"/>
      </rPr>
      <t>CSI,H</t>
    </r>
    <r>
      <rPr>
        <b/>
        <sz val="10"/>
        <color indexed="9"/>
        <rFont val="Arial"/>
        <family val="2"/>
      </rPr>
      <t>)</t>
    </r>
  </si>
  <si>
    <r>
      <t>Energy use climate severity index cooling (</t>
    </r>
    <r>
      <rPr>
        <b/>
        <i/>
        <sz val="10"/>
        <color indexed="9"/>
        <rFont val="Arial"/>
        <family val="2"/>
      </rPr>
      <t>Q</t>
    </r>
    <r>
      <rPr>
        <b/>
        <vertAlign val="subscript"/>
        <sz val="10"/>
        <color indexed="9"/>
        <rFont val="Arial"/>
        <family val="2"/>
      </rPr>
      <t>CSI,C</t>
    </r>
    <r>
      <rPr>
        <b/>
        <sz val="10"/>
        <color indexed="9"/>
        <rFont val="Arial"/>
        <family val="2"/>
      </rPr>
      <t>)</t>
    </r>
  </si>
  <si>
    <t>RO - Bucharest</t>
  </si>
  <si>
    <t>HU - Budapest</t>
  </si>
  <si>
    <t>IE - Dublin</t>
  </si>
  <si>
    <t>GB - London</t>
  </si>
  <si>
    <t>LT - Vilnius</t>
  </si>
  <si>
    <t>Lists for list boxes</t>
  </si>
  <si>
    <t>This sheet is used in the calculation sheets. Don't change anything in this sheet. If you want to use your own climate data in the calculation use the Climate 1, 2 and 3 sheets.</t>
  </si>
  <si>
    <t xml:space="preserve">This sheet contains predefined monthly climate data. If you want to define your own monthly climate data file use the sheets Climate 1, 2 and 3. </t>
  </si>
  <si>
    <t>&lt;&lt;TYPE HERE YOUR CLIMATE NAME&gt;&gt;</t>
  </si>
  <si>
    <t>In this sheet you can fill in your own monthly climate data.</t>
  </si>
  <si>
    <t>Calculation results</t>
  </si>
  <si>
    <t>Annual energy use</t>
  </si>
  <si>
    <t>CSI heating</t>
  </si>
  <si>
    <t>CSI cooling</t>
  </si>
  <si>
    <t>CSI total</t>
  </si>
  <si>
    <t>Climate Severity Index (CSI)</t>
  </si>
  <si>
    <r>
      <t>building mass per m</t>
    </r>
    <r>
      <rPr>
        <vertAlign val="superscript"/>
        <sz val="10"/>
        <rFont val="Arial"/>
        <family val="2"/>
      </rPr>
      <t>2</t>
    </r>
    <r>
      <rPr>
        <sz val="10"/>
        <rFont val="Arial"/>
        <family val="0"/>
      </rPr>
      <t xml:space="preserve"> (</t>
    </r>
    <r>
      <rPr>
        <i/>
        <sz val="10"/>
        <rFont val="Arial"/>
        <family val="2"/>
      </rPr>
      <t>C</t>
    </r>
    <r>
      <rPr>
        <vertAlign val="subscript"/>
        <sz val="10"/>
        <rFont val="Arial"/>
        <family val="2"/>
      </rPr>
      <t>m</t>
    </r>
    <r>
      <rPr>
        <sz val="10"/>
        <rFont val="Arial"/>
        <family val="0"/>
      </rPr>
      <t>/m</t>
    </r>
    <r>
      <rPr>
        <vertAlign val="superscript"/>
        <sz val="10"/>
        <rFont val="Arial"/>
        <family val="2"/>
      </rPr>
      <t>2</t>
    </r>
    <r>
      <rPr>
        <sz val="10"/>
        <rFont val="Arial"/>
        <family val="0"/>
      </rPr>
      <t>)</t>
    </r>
  </si>
  <si>
    <r>
      <t>a</t>
    </r>
    <r>
      <rPr>
        <vertAlign val="subscript"/>
        <sz val="10"/>
        <rFont val="Arial"/>
        <family val="2"/>
      </rPr>
      <t>1</t>
    </r>
  </si>
  <si>
    <r>
      <t>a</t>
    </r>
    <r>
      <rPr>
        <vertAlign val="subscript"/>
        <sz val="10"/>
        <rFont val="Arial"/>
        <family val="2"/>
      </rPr>
      <t>2</t>
    </r>
  </si>
  <si>
    <r>
      <t>b</t>
    </r>
    <r>
      <rPr>
        <vertAlign val="subscript"/>
        <sz val="10"/>
        <rFont val="Arial"/>
        <family val="2"/>
      </rPr>
      <t>1</t>
    </r>
  </si>
  <si>
    <r>
      <t>b</t>
    </r>
    <r>
      <rPr>
        <vertAlign val="subscript"/>
        <sz val="10"/>
        <rFont val="Arial"/>
        <family val="2"/>
      </rPr>
      <t>2</t>
    </r>
  </si>
  <si>
    <t>Default and fixed values (press button for default values)</t>
  </si>
  <si>
    <t>electricity</t>
  </si>
  <si>
    <t>energy use in case of mechanical exhaust</t>
  </si>
  <si>
    <t>energy use in case of mechanical supply and exhaust</t>
  </si>
  <si>
    <t>This spreadsheet is based on the calculation method of EPA-NR (Functional specifications of the EPA-NR software, june 2007 - Report Number: 2007-D-R0292/B). See Info sheet.</t>
  </si>
  <si>
    <t>choose climate*</t>
  </si>
  <si>
    <t>* for information about how to use your own climate data see the comment box</t>
  </si>
  <si>
    <t xml:space="preserve"> </t>
  </si>
  <si>
    <t>Ventilation type</t>
  </si>
  <si>
    <t>nat. supply, mech. exhaust</t>
  </si>
  <si>
    <t>mech. supply and exhaust</t>
  </si>
  <si>
    <t>mech. sup. and exh. + heat recovery</t>
  </si>
  <si>
    <t>Energy type</t>
  </si>
  <si>
    <t>other</t>
  </si>
  <si>
    <t>See the Info sheet for details.</t>
  </si>
  <si>
    <t>To see all worksheets in this spreadsheet click the "Unhide sheets" button.</t>
  </si>
  <si>
    <t>To hide all unnecessary worksheets click the "Hide sheets" button.</t>
  </si>
  <si>
    <r>
      <t>Q</t>
    </r>
    <r>
      <rPr>
        <b/>
        <vertAlign val="subscript"/>
        <sz val="10"/>
        <rFont val="Arial"/>
        <family val="2"/>
      </rPr>
      <t>prim,tot</t>
    </r>
  </si>
  <si>
    <r>
      <t>Q</t>
    </r>
    <r>
      <rPr>
        <vertAlign val="subscript"/>
        <sz val="10"/>
        <rFont val="Arial"/>
        <family val="2"/>
      </rPr>
      <t>CSI,tot,Brussels</t>
    </r>
  </si>
  <si>
    <t>This spreadsheet is based on the calculation method of EPA-NR (Functional specifications of the EPA-NR software, june 2007 - Report Number: 2007-D-R0292/B). See Info sheet for details.</t>
  </si>
  <si>
    <t>Click here to download the EPA-NR report</t>
  </si>
  <si>
    <t>Don't change anything in this sheet!</t>
  </si>
  <si>
    <t>This sheet contains the calculation of the reference for the Climate Severity Index for heating (based on climate: BE - Brussels)</t>
  </si>
  <si>
    <t>This sheet contains the calculation of the reference for the Climate Severity Index for cooling (based on climate: BE - Brussels)</t>
  </si>
  <si>
    <t>Calculation Q_Fans</t>
  </si>
  <si>
    <t>contain the climate data used in the calculation (16 climates sheets for specific countries and 3 empty climate sheets)</t>
  </si>
  <si>
    <t>The paragraph numbers mentioned in this worksheet refer to the paragraphs in the EPA-NR report.</t>
  </si>
  <si>
    <t>The calculation of the energy use of fans is a simplified calculation method. This method is not based on the calculation method in EPA-NR.</t>
  </si>
  <si>
    <t>The calculation of the energy use of domestic hot water (DHW) is a simplified calculation method. This method is not based on the calculation method in EPA-NR.</t>
  </si>
  <si>
    <t>CSI reference heating</t>
  </si>
  <si>
    <t xml:space="preserve">calculates the reference energy use for heating for the Climate Severity Index (reference climate is Brussels) </t>
  </si>
  <si>
    <t>CSI reference cooling</t>
  </si>
  <si>
    <t xml:space="preserve">calculates the reference energy use for cooling for the Climate Severity Index (reference climate is Brussels) </t>
  </si>
  <si>
    <t>%</t>
  </si>
  <si>
    <t>Input &amp; Results sheet:</t>
  </si>
  <si>
    <t>Input &amp; Results</t>
  </si>
  <si>
    <t>natural supply and exhaust</t>
  </si>
  <si>
    <r>
      <t>total heating system efficiency (</t>
    </r>
    <r>
      <rPr>
        <i/>
        <sz val="10"/>
        <rFont val="Arial"/>
        <family val="2"/>
      </rPr>
      <t>η</t>
    </r>
    <r>
      <rPr>
        <vertAlign val="subscript"/>
        <sz val="10"/>
        <rFont val="Arial"/>
        <family val="2"/>
      </rPr>
      <t>H</t>
    </r>
    <r>
      <rPr>
        <sz val="10"/>
        <rFont val="Arial"/>
        <family val="0"/>
      </rPr>
      <t>)</t>
    </r>
  </si>
  <si>
    <r>
      <t>average difference between external air and sky temperature (Δ</t>
    </r>
    <r>
      <rPr>
        <i/>
        <sz val="10"/>
        <rFont val="Arial"/>
        <family val="2"/>
      </rPr>
      <t>θ</t>
    </r>
    <r>
      <rPr>
        <vertAlign val="subscript"/>
        <sz val="10"/>
        <rFont val="Arial"/>
        <family val="2"/>
      </rPr>
      <t>er</t>
    </r>
    <r>
      <rPr>
        <sz val="10"/>
        <rFont val="Arial"/>
        <family val="2"/>
      </rPr>
      <t>)</t>
    </r>
  </si>
  <si>
    <r>
      <t>internal heat sources (</t>
    </r>
    <r>
      <rPr>
        <i/>
        <sz val="10"/>
        <rFont val="Arial"/>
        <family val="2"/>
      </rPr>
      <t>Φ</t>
    </r>
    <r>
      <rPr>
        <vertAlign val="subscript"/>
        <sz val="10"/>
        <rFont val="Arial"/>
        <family val="2"/>
      </rPr>
      <t>i</t>
    </r>
    <r>
      <rPr>
        <sz val="10"/>
        <rFont val="Arial"/>
        <family val="0"/>
      </rPr>
      <t>) per m</t>
    </r>
    <r>
      <rPr>
        <vertAlign val="superscript"/>
        <sz val="10"/>
        <rFont val="Arial"/>
        <family val="2"/>
      </rPr>
      <t>2</t>
    </r>
  </si>
  <si>
    <t>Solar heat sources (§6.5 and §6.6)</t>
  </si>
  <si>
    <r>
      <t>dm</t>
    </r>
    <r>
      <rPr>
        <vertAlign val="superscript"/>
        <sz val="10"/>
        <rFont val="Arial"/>
        <family val="2"/>
      </rPr>
      <t>3</t>
    </r>
    <r>
      <rPr>
        <sz val="10"/>
        <rFont val="Arial"/>
        <family val="0"/>
      </rPr>
      <t>/(s</t>
    </r>
    <r>
      <rPr>
        <sz val="10"/>
        <rFont val="Arial"/>
        <family val="0"/>
      </rPr>
      <t>·</t>
    </r>
    <r>
      <rPr>
        <sz val="10"/>
        <rFont val="Arial"/>
        <family val="0"/>
      </rPr>
      <t>m</t>
    </r>
    <r>
      <rPr>
        <vertAlign val="superscript"/>
        <sz val="10"/>
        <rFont val="Arial"/>
        <family val="2"/>
      </rPr>
      <t>2</t>
    </r>
    <r>
      <rPr>
        <sz val="10"/>
        <rFont val="Arial"/>
        <family val="2"/>
      </rPr>
      <t>)</t>
    </r>
  </si>
  <si>
    <t>Climate (not included when default buttons are pressed)</t>
  </si>
  <si>
    <t>U-value building elements (not included when default buttons are pressed)</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</si>
</sst>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000"/>
    <numFmt numFmtId="175" formatCode="0.000000"/>
    <numFmt numFmtId="176" formatCode="0.00000"/>
    <numFmt numFmtId="177" formatCode="0.0000"/>
    <numFmt numFmtId="178" formatCode="0.00000000"/>
    <numFmt numFmtId="179" formatCode="0.000000000"/>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u val="single"/>
      <sz val="10"/>
      <color indexed="36"/>
      <name val="Arial"/>
      <family val="0"/>
    </font>
    <font>
      <u val="single"/>
      <sz val="10"/>
      <color indexed="12"/>
      <name val="Arial"/>
      <family val="0"/>
    </font>
    <font>
      <sz val="10"/>
      <color indexed="12"/>
      <name val="Arial"/>
      <family val="0"/>
    </font>
    <font>
      <sz val="10"/>
      <color indexed="8"/>
      <name val="Arial"/>
      <family val="2"/>
    </font>
    <font>
      <sz val="8"/>
      <name val="Arial"/>
      <family val="0"/>
    </font>
    <font>
      <b/>
      <sz val="10"/>
      <name val="Arial"/>
      <family val="2"/>
    </font>
    <font>
      <sz val="8"/>
      <name val="Tahoma"/>
      <family val="0"/>
    </font>
    <font>
      <sz val="10"/>
      <color indexed="10"/>
      <name val="Arial"/>
      <family val="0"/>
    </font>
    <font>
      <b/>
      <sz val="10"/>
      <color indexed="9"/>
      <name val="Arial"/>
      <family val="2"/>
    </font>
    <font>
      <vertAlign val="superscript"/>
      <sz val="10"/>
      <name val="Arial"/>
      <family val="2"/>
    </font>
    <font>
      <sz val="10"/>
      <color indexed="9"/>
      <name val="Arial"/>
      <family val="2"/>
    </font>
    <font>
      <vertAlign val="subscript"/>
      <sz val="10"/>
      <name val="Arial"/>
      <family val="2"/>
    </font>
    <font>
      <i/>
      <sz val="10"/>
      <name val="Arial"/>
      <family val="2"/>
    </font>
    <font>
      <i/>
      <vertAlign val="subscript"/>
      <sz val="10"/>
      <name val="Arial"/>
      <family val="2"/>
    </font>
    <font>
      <b/>
      <vertAlign val="subscript"/>
      <sz val="10"/>
      <name val="Arial"/>
      <family val="2"/>
    </font>
    <font>
      <b/>
      <sz val="9"/>
      <color indexed="18"/>
      <name val="Arial"/>
      <family val="2"/>
    </font>
    <font>
      <b/>
      <vertAlign val="subscript"/>
      <sz val="10"/>
      <color indexed="9"/>
      <name val="Arial"/>
      <family val="2"/>
    </font>
    <font>
      <b/>
      <i/>
      <sz val="10"/>
      <color indexed="9"/>
      <name val="Arial"/>
      <family val="2"/>
    </font>
    <font>
      <b/>
      <u val="single"/>
      <sz val="10"/>
      <color indexed="12"/>
      <name val="Arial"/>
      <family val="2"/>
    </font>
    <font>
      <b/>
      <u val="single"/>
      <sz val="10"/>
      <color indexed="10"/>
      <name val="Arial"/>
      <family val="0"/>
    </font>
    <font>
      <sz val="7"/>
      <name val="Arial"/>
      <family val="2"/>
    </font>
    <font>
      <sz val="9"/>
      <color indexed="10"/>
      <name val="Arial"/>
      <family val="2"/>
    </font>
    <font>
      <b/>
      <sz val="8"/>
      <name val="Tahoma"/>
      <family val="2"/>
    </font>
    <font>
      <b/>
      <i/>
      <sz val="10"/>
      <name val="Arial"/>
      <family val="2"/>
    </font>
    <font>
      <sz val="46"/>
      <color indexed="9"/>
      <name val="Times New Roman"/>
      <family val="0"/>
    </font>
    <font>
      <b/>
      <sz val="48"/>
      <color indexed="51"/>
      <name val="Trebuchet MS"/>
      <family val="2"/>
    </font>
    <font>
      <b/>
      <sz val="20"/>
      <color indexed="51"/>
      <name val="Trebuchet MS"/>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indexed="10"/>
        <bgColor indexed="64"/>
      </patternFill>
    </fill>
    <fill>
      <patternFill patternType="solid">
        <fgColor indexed="54"/>
        <bgColor indexed="64"/>
      </patternFill>
    </fill>
    <fill>
      <patternFill patternType="solid">
        <fgColor indexed="61"/>
        <bgColor indexed="64"/>
      </patternFill>
    </fill>
  </fills>
  <borders count="46">
    <border>
      <left/>
      <right/>
      <top/>
      <bottom/>
      <diagonal/>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double">
        <color indexed="56"/>
      </left>
      <right>
        <color indexed="63"/>
      </right>
      <top style="double">
        <color indexed="56"/>
      </top>
      <bottom>
        <color indexed="63"/>
      </bottom>
    </border>
    <border>
      <left>
        <color indexed="63"/>
      </left>
      <right>
        <color indexed="63"/>
      </right>
      <top style="double">
        <color indexed="56"/>
      </top>
      <bottom>
        <color indexed="63"/>
      </bottom>
    </border>
    <border>
      <left>
        <color indexed="63"/>
      </left>
      <right style="double">
        <color indexed="56"/>
      </right>
      <top style="double">
        <color indexed="56"/>
      </top>
      <bottom>
        <color indexed="63"/>
      </bottom>
    </border>
    <border>
      <left style="double">
        <color indexed="56"/>
      </left>
      <right>
        <color indexed="63"/>
      </right>
      <top>
        <color indexed="63"/>
      </top>
      <bottom>
        <color indexed="63"/>
      </bottom>
    </border>
    <border>
      <left>
        <color indexed="63"/>
      </left>
      <right style="double">
        <color indexed="56"/>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56"/>
      </left>
      <right>
        <color indexed="63"/>
      </right>
      <top>
        <color indexed="63"/>
      </top>
      <bottom style="double">
        <color indexed="56"/>
      </bottom>
    </border>
    <border>
      <left>
        <color indexed="63"/>
      </left>
      <right>
        <color indexed="63"/>
      </right>
      <top>
        <color indexed="63"/>
      </top>
      <bottom style="double">
        <color indexed="56"/>
      </bottom>
    </border>
    <border>
      <left>
        <color indexed="63"/>
      </left>
      <right style="double">
        <color indexed="56"/>
      </right>
      <top>
        <color indexed="63"/>
      </top>
      <bottom style="double">
        <color indexed="56"/>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double">
        <color indexed="56"/>
      </top>
      <bottom style="double">
        <color indexed="56"/>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double">
        <color indexed="56"/>
      </left>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243">
    <xf numFmtId="0" fontId="0" fillId="0" borderId="0" xfId="0" applyAlignment="1">
      <alignment/>
    </xf>
    <xf numFmtId="2" fontId="0" fillId="2" borderId="0" xfId="0" applyNumberFormat="1" applyFill="1" applyBorder="1" applyAlignment="1" applyProtection="1">
      <alignment horizontal="right" vertical="center"/>
      <protection locked="0"/>
    </xf>
    <xf numFmtId="172" fontId="0" fillId="2" borderId="0" xfId="0" applyNumberFormat="1" applyFill="1" applyAlignment="1" applyProtection="1">
      <alignment/>
      <protection/>
    </xf>
    <xf numFmtId="0" fontId="0" fillId="2" borderId="0" xfId="0" applyFill="1" applyAlignment="1" applyProtection="1">
      <alignment/>
      <protection/>
    </xf>
    <xf numFmtId="0" fontId="11" fillId="3" borderId="1" xfId="0" applyFont="1" applyFill="1" applyBorder="1" applyAlignment="1" applyProtection="1">
      <alignment wrapText="1"/>
      <protection/>
    </xf>
    <xf numFmtId="0" fontId="6" fillId="2" borderId="2" xfId="0" applyFont="1" applyFill="1" applyBorder="1" applyAlignment="1" applyProtection="1">
      <alignment horizontal="center" wrapText="1"/>
      <protection/>
    </xf>
    <xf numFmtId="0" fontId="6" fillId="2" borderId="3" xfId="0" applyFont="1" applyFill="1" applyBorder="1" applyAlignment="1" applyProtection="1">
      <alignment horizontal="center" wrapText="1"/>
      <protection/>
    </xf>
    <xf numFmtId="0" fontId="6" fillId="2" borderId="4" xfId="0" applyFont="1" applyFill="1" applyBorder="1" applyAlignment="1" applyProtection="1">
      <alignment horizontal="center" wrapText="1"/>
      <protection/>
    </xf>
    <xf numFmtId="0" fontId="0" fillId="2" borderId="5" xfId="0" applyFill="1" applyBorder="1" applyAlignment="1" applyProtection="1">
      <alignment wrapText="1"/>
      <protection/>
    </xf>
    <xf numFmtId="0" fontId="0" fillId="2" borderId="6" xfId="0" applyFill="1" applyBorder="1" applyAlignment="1" applyProtection="1">
      <alignment wrapText="1"/>
      <protection/>
    </xf>
    <xf numFmtId="173" fontId="0" fillId="4" borderId="7" xfId="0" applyNumberFormat="1" applyFill="1" applyBorder="1" applyAlignment="1" applyProtection="1">
      <alignment horizontal="center"/>
      <protection/>
    </xf>
    <xf numFmtId="173" fontId="0" fillId="4" borderId="8" xfId="0" applyNumberFormat="1" applyFill="1" applyBorder="1" applyAlignment="1" applyProtection="1">
      <alignment horizontal="center"/>
      <protection/>
    </xf>
    <xf numFmtId="173" fontId="0" fillId="4" borderId="9" xfId="0" applyNumberFormat="1" applyFill="1" applyBorder="1" applyAlignment="1" applyProtection="1">
      <alignment horizontal="center"/>
      <protection/>
    </xf>
    <xf numFmtId="0" fontId="0" fillId="2" borderId="0" xfId="0" applyFill="1" applyAlignment="1" applyProtection="1">
      <alignment wrapText="1"/>
      <protection/>
    </xf>
    <xf numFmtId="0" fontId="0" fillId="2" borderId="10" xfId="0" applyFont="1" applyFill="1" applyBorder="1" applyAlignment="1" applyProtection="1">
      <alignment wrapText="1"/>
      <protection/>
    </xf>
    <xf numFmtId="0" fontId="0" fillId="2" borderId="11" xfId="0" applyFill="1" applyBorder="1" applyAlignment="1" applyProtection="1">
      <alignment wrapText="1"/>
      <protection/>
    </xf>
    <xf numFmtId="1" fontId="0" fillId="4" borderId="12" xfId="0" applyNumberFormat="1" applyFill="1" applyBorder="1" applyAlignment="1" applyProtection="1">
      <alignment horizontal="center"/>
      <protection/>
    </xf>
    <xf numFmtId="1" fontId="0" fillId="4" borderId="13" xfId="0" applyNumberFormat="1" applyFill="1" applyBorder="1" applyAlignment="1" applyProtection="1">
      <alignment horizontal="center"/>
      <protection/>
    </xf>
    <xf numFmtId="1" fontId="0" fillId="4" borderId="11" xfId="0" applyNumberFormat="1" applyFill="1" applyBorder="1" applyAlignment="1" applyProtection="1">
      <alignment horizontal="center"/>
      <protection/>
    </xf>
    <xf numFmtId="0" fontId="0" fillId="2" borderId="14" xfId="0" applyFont="1" applyFill="1" applyBorder="1" applyAlignment="1" applyProtection="1">
      <alignment/>
      <protection/>
    </xf>
    <xf numFmtId="0" fontId="0" fillId="2" borderId="15" xfId="0" applyFill="1" applyBorder="1" applyAlignment="1" applyProtection="1">
      <alignment wrapText="1"/>
      <protection/>
    </xf>
    <xf numFmtId="1" fontId="0" fillId="4" borderId="16" xfId="0" applyNumberFormat="1" applyFill="1" applyBorder="1" applyAlignment="1" applyProtection="1">
      <alignment horizontal="center"/>
      <protection/>
    </xf>
    <xf numFmtId="1" fontId="0" fillId="4" borderId="17" xfId="0" applyNumberFormat="1" applyFill="1" applyBorder="1" applyAlignment="1" applyProtection="1">
      <alignment horizontal="center"/>
      <protection/>
    </xf>
    <xf numFmtId="1" fontId="0" fillId="4" borderId="15" xfId="0" applyNumberFormat="1" applyFill="1" applyBorder="1" applyAlignment="1" applyProtection="1">
      <alignment horizontal="center"/>
      <protection/>
    </xf>
    <xf numFmtId="1" fontId="0" fillId="2" borderId="0" xfId="0" applyNumberFormat="1" applyFill="1" applyAlignment="1" applyProtection="1">
      <alignment/>
      <protection/>
    </xf>
    <xf numFmtId="2" fontId="0" fillId="2" borderId="0" xfId="0" applyNumberFormat="1" applyFill="1" applyAlignment="1" applyProtection="1">
      <alignment/>
      <protection/>
    </xf>
    <xf numFmtId="0" fontId="6" fillId="2" borderId="0" xfId="0" applyFont="1" applyFill="1" applyAlignment="1" applyProtection="1">
      <alignment/>
      <protection/>
    </xf>
    <xf numFmtId="0" fontId="8" fillId="2" borderId="0" xfId="0" applyFont="1" applyFill="1" applyAlignment="1" applyProtection="1">
      <alignment/>
      <protection/>
    </xf>
    <xf numFmtId="0" fontId="0" fillId="2" borderId="0" xfId="0" applyFont="1" applyFill="1" applyBorder="1" applyAlignment="1" applyProtection="1">
      <alignment/>
      <protection/>
    </xf>
    <xf numFmtId="0" fontId="0" fillId="2" borderId="0" xfId="0" applyFill="1" applyBorder="1" applyAlignment="1" applyProtection="1">
      <alignment wrapText="1"/>
      <protection/>
    </xf>
    <xf numFmtId="1" fontId="0" fillId="2" borderId="0" xfId="0" applyNumberFormat="1" applyFill="1" applyBorder="1" applyAlignment="1" applyProtection="1">
      <alignment horizontal="center"/>
      <protection/>
    </xf>
    <xf numFmtId="0" fontId="9" fillId="3" borderId="18" xfId="0" applyFont="1" applyFill="1" applyBorder="1" applyAlignment="1" applyProtection="1">
      <alignment/>
      <protection/>
    </xf>
    <xf numFmtId="0" fontId="0" fillId="2" borderId="19" xfId="0" applyFill="1" applyBorder="1" applyAlignment="1" applyProtection="1">
      <alignment/>
      <protection/>
    </xf>
    <xf numFmtId="0" fontId="0" fillId="2" borderId="20" xfId="0" applyFill="1" applyBorder="1" applyAlignment="1" applyProtection="1">
      <alignment/>
      <protection/>
    </xf>
    <xf numFmtId="0" fontId="0" fillId="4" borderId="17" xfId="0" applyFill="1" applyBorder="1" applyAlignment="1" applyProtection="1">
      <alignment horizontal="center"/>
      <protection/>
    </xf>
    <xf numFmtId="172" fontId="0" fillId="4" borderId="17" xfId="0" applyNumberFormat="1" applyFill="1" applyBorder="1" applyAlignment="1" applyProtection="1">
      <alignment horizontal="center"/>
      <protection/>
    </xf>
    <xf numFmtId="0" fontId="0" fillId="4" borderId="15" xfId="0" applyFill="1" applyBorder="1" applyAlignment="1" applyProtection="1">
      <alignment horizontal="center"/>
      <protection/>
    </xf>
    <xf numFmtId="0" fontId="0" fillId="2" borderId="0" xfId="0" applyFill="1" applyBorder="1" applyAlignment="1" applyProtection="1">
      <alignment/>
      <protection/>
    </xf>
    <xf numFmtId="0" fontId="6" fillId="2" borderId="21" xfId="0" applyFont="1" applyFill="1" applyBorder="1" applyAlignment="1" applyProtection="1">
      <alignment/>
      <protection/>
    </xf>
    <xf numFmtId="0" fontId="6" fillId="2" borderId="22" xfId="0" applyFont="1" applyFill="1" applyBorder="1" applyAlignment="1" applyProtection="1">
      <alignment/>
      <protection/>
    </xf>
    <xf numFmtId="0" fontId="0" fillId="2" borderId="22" xfId="0" applyFill="1" applyBorder="1" applyAlignment="1" applyProtection="1">
      <alignment/>
      <protection/>
    </xf>
    <xf numFmtId="0" fontId="0" fillId="2" borderId="23" xfId="0" applyFill="1" applyBorder="1" applyAlignment="1" applyProtection="1">
      <alignment/>
      <protection/>
    </xf>
    <xf numFmtId="0" fontId="0" fillId="2" borderId="24" xfId="0" applyFill="1" applyBorder="1" applyAlignment="1" applyProtection="1">
      <alignment/>
      <protection/>
    </xf>
    <xf numFmtId="0" fontId="6" fillId="2" borderId="0" xfId="0" applyFont="1" applyFill="1" applyBorder="1" applyAlignment="1" applyProtection="1">
      <alignment/>
      <protection/>
    </xf>
    <xf numFmtId="0" fontId="0" fillId="2" borderId="25" xfId="0" applyFill="1" applyBorder="1" applyAlignment="1" applyProtection="1">
      <alignment/>
      <protection/>
    </xf>
    <xf numFmtId="0" fontId="6" fillId="2" borderId="24" xfId="0" applyFont="1" applyFill="1" applyBorder="1" applyAlignment="1" applyProtection="1">
      <alignment/>
      <protection/>
    </xf>
    <xf numFmtId="0" fontId="13" fillId="2" borderId="26" xfId="0" applyFont="1" applyFill="1" applyBorder="1" applyAlignment="1" applyProtection="1">
      <alignment/>
      <protection/>
    </xf>
    <xf numFmtId="1" fontId="0" fillId="2" borderId="27" xfId="0" applyNumberFormat="1" applyFont="1" applyFill="1" applyBorder="1" applyAlignment="1" applyProtection="1">
      <alignment/>
      <protection/>
    </xf>
    <xf numFmtId="0" fontId="6" fillId="2" borderId="25" xfId="0" applyFont="1" applyFill="1" applyBorder="1" applyAlignment="1" applyProtection="1">
      <alignment/>
      <protection/>
    </xf>
    <xf numFmtId="0" fontId="13" fillId="2" borderId="28" xfId="0" applyFont="1" applyFill="1" applyBorder="1" applyAlignment="1" applyProtection="1">
      <alignment/>
      <protection/>
    </xf>
    <xf numFmtId="0" fontId="0" fillId="2" borderId="29" xfId="0" applyFont="1" applyFill="1" applyBorder="1" applyAlignment="1" applyProtection="1">
      <alignment/>
      <protection/>
    </xf>
    <xf numFmtId="1" fontId="0" fillId="2" borderId="30" xfId="0" applyNumberFormat="1" applyFont="1" applyFill="1" applyBorder="1" applyAlignment="1" applyProtection="1">
      <alignment/>
      <protection/>
    </xf>
    <xf numFmtId="2" fontId="3" fillId="2" borderId="25" xfId="0" applyNumberFormat="1" applyFont="1" applyFill="1" applyBorder="1" applyAlignment="1" applyProtection="1">
      <alignment/>
      <protection/>
    </xf>
    <xf numFmtId="2" fontId="3" fillId="2" borderId="0" xfId="0" applyNumberFormat="1" applyFont="1" applyFill="1" applyBorder="1" applyAlignment="1" applyProtection="1">
      <alignment/>
      <protection/>
    </xf>
    <xf numFmtId="0" fontId="0" fillId="2" borderId="31" xfId="0" applyFill="1" applyBorder="1" applyAlignment="1" applyProtection="1">
      <alignment/>
      <protection/>
    </xf>
    <xf numFmtId="0" fontId="0" fillId="2" borderId="32" xfId="0" applyFill="1" applyBorder="1" applyAlignment="1" applyProtection="1">
      <alignment/>
      <protection/>
    </xf>
    <xf numFmtId="2" fontId="3" fillId="2" borderId="33" xfId="0" applyNumberFormat="1" applyFont="1" applyFill="1" applyBorder="1" applyAlignment="1" applyProtection="1">
      <alignment/>
      <protection/>
    </xf>
    <xf numFmtId="2" fontId="0" fillId="2" borderId="0" xfId="0" applyNumberFormat="1" applyFont="1" applyFill="1" applyBorder="1" applyAlignment="1" applyProtection="1">
      <alignment/>
      <protection/>
    </xf>
    <xf numFmtId="0" fontId="4" fillId="2" borderId="0" xfId="0" applyFont="1" applyFill="1" applyBorder="1" applyAlignment="1" applyProtection="1">
      <alignment/>
      <protection/>
    </xf>
    <xf numFmtId="173" fontId="0" fillId="2" borderId="0" xfId="0" applyNumberFormat="1" applyFill="1" applyBorder="1" applyAlignment="1" applyProtection="1">
      <alignment horizontal="right"/>
      <protection/>
    </xf>
    <xf numFmtId="1" fontId="0" fillId="2" borderId="0" xfId="0" applyNumberFormat="1" applyFill="1" applyBorder="1" applyAlignment="1" applyProtection="1">
      <alignment horizontal="right"/>
      <protection/>
    </xf>
    <xf numFmtId="1" fontId="3" fillId="2" borderId="0" xfId="0" applyNumberFormat="1" applyFont="1" applyFill="1" applyBorder="1" applyAlignment="1" applyProtection="1">
      <alignment/>
      <protection/>
    </xf>
    <xf numFmtId="0" fontId="4" fillId="2" borderId="0" xfId="0" applyFont="1" applyFill="1" applyBorder="1" applyAlignment="1" applyProtection="1" quotePrefix="1">
      <alignment/>
      <protection/>
    </xf>
    <xf numFmtId="0" fontId="3" fillId="2" borderId="0" xfId="0" applyFont="1" applyFill="1" applyBorder="1" applyAlignment="1" applyProtection="1">
      <alignment/>
      <protection/>
    </xf>
    <xf numFmtId="0" fontId="0" fillId="2" borderId="0" xfId="0" applyFill="1" applyBorder="1" applyAlignment="1" applyProtection="1" quotePrefix="1">
      <alignment/>
      <protection/>
    </xf>
    <xf numFmtId="1" fontId="0" fillId="2" borderId="0" xfId="0" applyNumberFormat="1" applyFont="1" applyFill="1" applyBorder="1" applyAlignment="1" applyProtection="1">
      <alignment/>
      <protection/>
    </xf>
    <xf numFmtId="1" fontId="0" fillId="2" borderId="0" xfId="0" applyNumberFormat="1" applyFill="1" applyBorder="1" applyAlignment="1" applyProtection="1">
      <alignment/>
      <protection/>
    </xf>
    <xf numFmtId="0" fontId="3" fillId="2" borderId="0" xfId="0" applyFont="1" applyFill="1" applyBorder="1" applyAlignment="1" applyProtection="1">
      <alignment horizontal="right"/>
      <protection/>
    </xf>
    <xf numFmtId="0" fontId="3" fillId="2" borderId="0" xfId="0" applyFont="1" applyFill="1" applyBorder="1" applyAlignment="1" applyProtection="1">
      <alignment/>
      <protection/>
    </xf>
    <xf numFmtId="2" fontId="3" fillId="2" borderId="0" xfId="0" applyNumberFormat="1" applyFont="1" applyFill="1" applyBorder="1" applyAlignment="1" applyProtection="1">
      <alignment horizontal="right"/>
      <protection/>
    </xf>
    <xf numFmtId="177" fontId="3" fillId="2" borderId="0" xfId="0" applyNumberFormat="1" applyFont="1" applyFill="1" applyBorder="1" applyAlignment="1" applyProtection="1">
      <alignment/>
      <protection/>
    </xf>
    <xf numFmtId="1" fontId="3" fillId="2" borderId="0" xfId="0" applyNumberFormat="1" applyFont="1" applyFill="1" applyAlignment="1" applyProtection="1">
      <alignment/>
      <protection/>
    </xf>
    <xf numFmtId="172" fontId="3" fillId="2" borderId="0" xfId="0" applyNumberFormat="1" applyFont="1" applyFill="1" applyAlignment="1" applyProtection="1">
      <alignment/>
      <protection/>
    </xf>
    <xf numFmtId="172" fontId="3" fillId="2" borderId="0" xfId="0" applyNumberFormat="1" applyFont="1" applyFill="1" applyAlignment="1" applyProtection="1" quotePrefix="1">
      <alignment/>
      <protection/>
    </xf>
    <xf numFmtId="1" fontId="0" fillId="2" borderId="0" xfId="0" applyNumberFormat="1" applyFont="1" applyFill="1" applyAlignment="1" applyProtection="1">
      <alignment/>
      <protection/>
    </xf>
    <xf numFmtId="173" fontId="3" fillId="2" borderId="0" xfId="0" applyNumberFormat="1" applyFont="1" applyFill="1" applyAlignment="1" applyProtection="1">
      <alignment/>
      <protection/>
    </xf>
    <xf numFmtId="2" fontId="3" fillId="2" borderId="0" xfId="0" applyNumberFormat="1" applyFont="1" applyFill="1" applyAlignment="1" applyProtection="1">
      <alignment/>
      <protection/>
    </xf>
    <xf numFmtId="2" fontId="3" fillId="2" borderId="23" xfId="0" applyNumberFormat="1" applyFont="1" applyFill="1" applyBorder="1" applyAlignment="1" applyProtection="1">
      <alignment/>
      <protection/>
    </xf>
    <xf numFmtId="1" fontId="0" fillId="2" borderId="27" xfId="0" applyNumberFormat="1" applyFill="1" applyBorder="1" applyAlignment="1" applyProtection="1">
      <alignment/>
      <protection/>
    </xf>
    <xf numFmtId="0" fontId="0" fillId="2" borderId="29" xfId="0" applyFill="1" applyBorder="1" applyAlignment="1" applyProtection="1">
      <alignment/>
      <protection/>
    </xf>
    <xf numFmtId="1" fontId="0" fillId="2" borderId="30" xfId="0" applyNumberFormat="1" applyFont="1" applyFill="1" applyBorder="1" applyAlignment="1" applyProtection="1">
      <alignment/>
      <protection/>
    </xf>
    <xf numFmtId="2" fontId="0" fillId="2" borderId="32" xfId="0" applyNumberFormat="1" applyFont="1" applyFill="1" applyBorder="1" applyAlignment="1" applyProtection="1">
      <alignment/>
      <protection/>
    </xf>
    <xf numFmtId="0" fontId="9" fillId="3" borderId="34" xfId="0" applyFont="1" applyFill="1" applyBorder="1" applyAlignment="1" applyProtection="1">
      <alignment/>
      <protection/>
    </xf>
    <xf numFmtId="0" fontId="9" fillId="3" borderId="35" xfId="0" applyFont="1" applyFill="1" applyBorder="1" applyAlignment="1" applyProtection="1">
      <alignment/>
      <protection/>
    </xf>
    <xf numFmtId="0" fontId="11" fillId="3" borderId="35" xfId="0" applyFont="1" applyFill="1" applyBorder="1" applyAlignment="1" applyProtection="1">
      <alignment horizontal="right" wrapText="1"/>
      <protection/>
    </xf>
    <xf numFmtId="0" fontId="11" fillId="3" borderId="36" xfId="0" applyFont="1" applyFill="1" applyBorder="1" applyAlignment="1" applyProtection="1">
      <alignment horizontal="right" wrapText="1"/>
      <protection/>
    </xf>
    <xf numFmtId="0" fontId="0" fillId="2" borderId="24" xfId="0" applyFont="1" applyFill="1" applyBorder="1" applyAlignment="1" applyProtection="1">
      <alignment/>
      <protection/>
    </xf>
    <xf numFmtId="0" fontId="0" fillId="2" borderId="28" xfId="0" applyFill="1" applyBorder="1" applyAlignment="1" applyProtection="1">
      <alignment/>
      <protection/>
    </xf>
    <xf numFmtId="0" fontId="0" fillId="2" borderId="29" xfId="0" applyFill="1" applyBorder="1" applyAlignment="1" applyProtection="1">
      <alignment horizontal="right"/>
      <protection/>
    </xf>
    <xf numFmtId="172" fontId="0" fillId="2" borderId="29" xfId="0" applyNumberFormat="1" applyFill="1" applyBorder="1" applyAlignment="1" applyProtection="1">
      <alignment horizontal="right"/>
      <protection/>
    </xf>
    <xf numFmtId="0" fontId="0" fillId="2" borderId="30" xfId="0" applyFill="1" applyBorder="1" applyAlignment="1" applyProtection="1">
      <alignment horizontal="right"/>
      <protection/>
    </xf>
    <xf numFmtId="0" fontId="0" fillId="2" borderId="25" xfId="0" applyFont="1" applyFill="1" applyBorder="1" applyAlignment="1" applyProtection="1">
      <alignment/>
      <protection/>
    </xf>
    <xf numFmtId="0" fontId="0" fillId="2" borderId="0" xfId="0" applyFont="1" applyFill="1" applyAlignment="1" applyProtection="1">
      <alignment/>
      <protection/>
    </xf>
    <xf numFmtId="0" fontId="9" fillId="3" borderId="37" xfId="0" applyFont="1" applyFill="1" applyBorder="1" applyAlignment="1" applyProtection="1">
      <alignment/>
      <protection/>
    </xf>
    <xf numFmtId="0" fontId="11" fillId="3" borderId="38" xfId="0" applyFont="1" applyFill="1" applyBorder="1" applyAlignment="1" applyProtection="1">
      <alignment/>
      <protection/>
    </xf>
    <xf numFmtId="1" fontId="11" fillId="3" borderId="38" xfId="0" applyNumberFormat="1" applyFont="1" applyFill="1" applyBorder="1" applyAlignment="1" applyProtection="1">
      <alignment/>
      <protection/>
    </xf>
    <xf numFmtId="1" fontId="11" fillId="3" borderId="39" xfId="0" applyNumberFormat="1" applyFont="1" applyFill="1" applyBorder="1" applyAlignment="1" applyProtection="1">
      <alignment/>
      <protection/>
    </xf>
    <xf numFmtId="2" fontId="0" fillId="2" borderId="27" xfId="0" applyNumberFormat="1" applyFont="1" applyFill="1" applyBorder="1" applyAlignment="1" applyProtection="1">
      <alignment/>
      <protection/>
    </xf>
    <xf numFmtId="1" fontId="0" fillId="2" borderId="29" xfId="0" applyNumberFormat="1" applyFont="1" applyFill="1" applyBorder="1" applyAlignment="1" applyProtection="1">
      <alignment/>
      <protection/>
    </xf>
    <xf numFmtId="0" fontId="11" fillId="3" borderId="38" xfId="0" applyFont="1" applyFill="1" applyBorder="1" applyAlignment="1" applyProtection="1">
      <alignment/>
      <protection/>
    </xf>
    <xf numFmtId="1" fontId="11" fillId="3" borderId="38" xfId="0" applyNumberFormat="1" applyFont="1" applyFill="1" applyBorder="1" applyAlignment="1" applyProtection="1">
      <alignment/>
      <protection/>
    </xf>
    <xf numFmtId="1" fontId="11" fillId="3" borderId="39" xfId="0" applyNumberFormat="1" applyFont="1" applyFill="1" applyBorder="1" applyAlignment="1" applyProtection="1">
      <alignment/>
      <protection/>
    </xf>
    <xf numFmtId="0" fontId="4" fillId="2" borderId="25" xfId="0" applyFont="1" applyFill="1" applyBorder="1" applyAlignment="1" applyProtection="1">
      <alignment/>
      <protection/>
    </xf>
    <xf numFmtId="0" fontId="11" fillId="3" borderId="39" xfId="0" applyFont="1" applyFill="1" applyBorder="1" applyAlignment="1" applyProtection="1">
      <alignment/>
      <protection/>
    </xf>
    <xf numFmtId="1" fontId="0" fillId="2" borderId="27" xfId="0" applyNumberFormat="1" applyFont="1" applyFill="1" applyBorder="1" applyAlignment="1" applyProtection="1">
      <alignment/>
      <protection/>
    </xf>
    <xf numFmtId="0" fontId="13" fillId="2" borderId="18" xfId="0" applyFont="1" applyFill="1" applyBorder="1" applyAlignment="1" applyProtection="1">
      <alignment/>
      <protection/>
    </xf>
    <xf numFmtId="0" fontId="0" fillId="2" borderId="40" xfId="0" applyFill="1" applyBorder="1" applyAlignment="1" applyProtection="1">
      <alignment/>
      <protection/>
    </xf>
    <xf numFmtId="1" fontId="0" fillId="2" borderId="40" xfId="0" applyNumberFormat="1" applyFont="1" applyFill="1" applyBorder="1" applyAlignment="1" applyProtection="1">
      <alignment/>
      <protection/>
    </xf>
    <xf numFmtId="1" fontId="0" fillId="2" borderId="1" xfId="0" applyNumberFormat="1" applyFont="1" applyFill="1" applyBorder="1" applyAlignment="1" applyProtection="1">
      <alignment/>
      <protection/>
    </xf>
    <xf numFmtId="1" fontId="0" fillId="2" borderId="0" xfId="0" applyNumberFormat="1" applyFont="1" applyFill="1" applyBorder="1" applyAlignment="1" applyProtection="1">
      <alignment/>
      <protection/>
    </xf>
    <xf numFmtId="0" fontId="13" fillId="2" borderId="37" xfId="0" applyFont="1" applyFill="1" applyBorder="1" applyAlignment="1" applyProtection="1">
      <alignment/>
      <protection/>
    </xf>
    <xf numFmtId="0" fontId="0" fillId="2" borderId="38" xfId="0" applyFont="1" applyFill="1" applyBorder="1" applyAlignment="1" applyProtection="1">
      <alignment/>
      <protection/>
    </xf>
    <xf numFmtId="2" fontId="0" fillId="2" borderId="38" xfId="0" applyNumberFormat="1" applyFont="1" applyFill="1" applyBorder="1" applyAlignment="1" applyProtection="1">
      <alignment horizontal="right"/>
      <protection/>
    </xf>
    <xf numFmtId="2" fontId="0" fillId="2" borderId="39" xfId="0" applyNumberFormat="1" applyFont="1" applyFill="1" applyBorder="1" applyAlignment="1" applyProtection="1">
      <alignment horizontal="right"/>
      <protection/>
    </xf>
    <xf numFmtId="0" fontId="0" fillId="2" borderId="0" xfId="0" applyFont="1" applyFill="1" applyBorder="1" applyAlignment="1" applyProtection="1" quotePrefix="1">
      <alignment/>
      <protection/>
    </xf>
    <xf numFmtId="2" fontId="0" fillId="2" borderId="0" xfId="0" applyNumberFormat="1" applyFont="1" applyFill="1" applyBorder="1" applyAlignment="1" applyProtection="1">
      <alignment horizontal="right"/>
      <protection/>
    </xf>
    <xf numFmtId="2" fontId="0" fillId="2" borderId="27" xfId="0" applyNumberFormat="1" applyFont="1" applyFill="1" applyBorder="1" applyAlignment="1" applyProtection="1">
      <alignment horizontal="right"/>
      <protection/>
    </xf>
    <xf numFmtId="177" fontId="0" fillId="2" borderId="0" xfId="0" applyNumberFormat="1" applyFont="1" applyFill="1" applyBorder="1" applyAlignment="1" applyProtection="1">
      <alignment/>
      <protection/>
    </xf>
    <xf numFmtId="177" fontId="0" fillId="2" borderId="27" xfId="0" applyNumberFormat="1" applyFont="1" applyFill="1" applyBorder="1" applyAlignment="1" applyProtection="1">
      <alignment/>
      <protection/>
    </xf>
    <xf numFmtId="1" fontId="6" fillId="2" borderId="25" xfId="0" applyNumberFormat="1" applyFont="1" applyFill="1" applyBorder="1" applyAlignment="1" applyProtection="1">
      <alignment/>
      <protection/>
    </xf>
    <xf numFmtId="1" fontId="3" fillId="2" borderId="0" xfId="0" applyNumberFormat="1" applyFont="1" applyFill="1" applyBorder="1" applyAlignment="1" applyProtection="1">
      <alignment/>
      <protection/>
    </xf>
    <xf numFmtId="0" fontId="9" fillId="5" borderId="37" xfId="0" applyFont="1" applyFill="1" applyBorder="1" applyAlignment="1" applyProtection="1">
      <alignment/>
      <protection/>
    </xf>
    <xf numFmtId="0" fontId="11" fillId="5" borderId="38" xfId="0" applyFont="1" applyFill="1" applyBorder="1" applyAlignment="1" applyProtection="1">
      <alignment/>
      <protection/>
    </xf>
    <xf numFmtId="1" fontId="11" fillId="5" borderId="39" xfId="0" applyNumberFormat="1" applyFont="1" applyFill="1" applyBorder="1" applyAlignment="1" applyProtection="1">
      <alignment/>
      <protection/>
    </xf>
    <xf numFmtId="1" fontId="11" fillId="2" borderId="0" xfId="0" applyNumberFormat="1" applyFont="1" applyFill="1" applyBorder="1" applyAlignment="1" applyProtection="1">
      <alignment/>
      <protection/>
    </xf>
    <xf numFmtId="0" fontId="0" fillId="2" borderId="31" xfId="0" applyFont="1" applyFill="1" applyBorder="1" applyAlignment="1" applyProtection="1">
      <alignment/>
      <protection/>
    </xf>
    <xf numFmtId="0" fontId="0" fillId="2" borderId="32" xfId="0" applyFont="1" applyFill="1" applyBorder="1" applyAlignment="1" applyProtection="1">
      <alignment/>
      <protection/>
    </xf>
    <xf numFmtId="1" fontId="0" fillId="2" borderId="32" xfId="0" applyNumberFormat="1" applyFont="1" applyFill="1" applyBorder="1" applyAlignment="1" applyProtection="1">
      <alignment/>
      <protection/>
    </xf>
    <xf numFmtId="0" fontId="0" fillId="2" borderId="33" xfId="0" applyFont="1" applyFill="1" applyBorder="1" applyAlignment="1" applyProtection="1">
      <alignment/>
      <protection/>
    </xf>
    <xf numFmtId="1" fontId="3" fillId="2" borderId="0" xfId="0" applyNumberFormat="1" applyFont="1" applyFill="1" applyAlignment="1" applyProtection="1">
      <alignment/>
      <protection/>
    </xf>
    <xf numFmtId="0" fontId="0" fillId="2" borderId="0" xfId="0" applyFill="1" applyAlignment="1" applyProtection="1">
      <alignment horizontal="right"/>
      <protection/>
    </xf>
    <xf numFmtId="0" fontId="6" fillId="2" borderId="21" xfId="0" applyFont="1" applyFill="1" applyBorder="1" applyAlignment="1" applyProtection="1">
      <alignment vertical="center"/>
      <protection/>
    </xf>
    <xf numFmtId="0" fontId="6" fillId="2" borderId="22" xfId="0" applyFont="1" applyFill="1" applyBorder="1" applyAlignment="1" applyProtection="1">
      <alignment vertical="center"/>
      <protection/>
    </xf>
    <xf numFmtId="0" fontId="0" fillId="2" borderId="22" xfId="0" applyFill="1" applyBorder="1" applyAlignment="1" applyProtection="1">
      <alignment horizontal="right" vertical="center"/>
      <protection/>
    </xf>
    <xf numFmtId="0" fontId="0" fillId="2" borderId="23"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0" xfId="0" applyFill="1" applyAlignment="1" applyProtection="1">
      <alignment vertical="center"/>
      <protection/>
    </xf>
    <xf numFmtId="0" fontId="0" fillId="2" borderId="24" xfId="0" applyFill="1" applyBorder="1" applyAlignment="1" applyProtection="1">
      <alignment vertical="center"/>
      <protection/>
    </xf>
    <xf numFmtId="0" fontId="0" fillId="2" borderId="0" xfId="0" applyFill="1" applyBorder="1" applyAlignment="1" applyProtection="1">
      <alignment horizontal="right" vertical="center"/>
      <protection/>
    </xf>
    <xf numFmtId="0" fontId="0" fillId="2" borderId="25" xfId="0" applyFill="1" applyBorder="1" applyAlignment="1" applyProtection="1">
      <alignment vertical="center"/>
      <protection/>
    </xf>
    <xf numFmtId="0" fontId="0" fillId="2" borderId="0" xfId="0" applyFill="1" applyAlignment="1" applyProtection="1">
      <alignment horizontal="right" vertical="center"/>
      <protection/>
    </xf>
    <xf numFmtId="0" fontId="9" fillId="6" borderId="37" xfId="0" applyFont="1" applyFill="1" applyBorder="1" applyAlignment="1" applyProtection="1">
      <alignment vertical="center"/>
      <protection/>
    </xf>
    <xf numFmtId="0" fontId="9" fillId="5" borderId="37" xfId="0" applyFont="1" applyFill="1" applyBorder="1" applyAlignment="1" applyProtection="1">
      <alignment vertical="center"/>
      <protection/>
    </xf>
    <xf numFmtId="0" fontId="0" fillId="2" borderId="30" xfId="0" applyFill="1" applyBorder="1" applyAlignment="1" applyProtection="1">
      <alignment horizontal="right" vertical="center"/>
      <protection/>
    </xf>
    <xf numFmtId="0" fontId="0" fillId="2" borderId="26" xfId="0" applyFill="1" applyBorder="1" applyAlignment="1" applyProtection="1">
      <alignment vertical="center"/>
      <protection/>
    </xf>
    <xf numFmtId="0" fontId="0" fillId="2" borderId="27" xfId="0" applyFill="1" applyBorder="1" applyAlignment="1" applyProtection="1">
      <alignment horizontal="right" vertical="center"/>
      <protection/>
    </xf>
    <xf numFmtId="0" fontId="6" fillId="2" borderId="0" xfId="0" applyFont="1" applyFill="1" applyBorder="1" applyAlignment="1" applyProtection="1">
      <alignment vertical="center"/>
      <protection/>
    </xf>
    <xf numFmtId="0" fontId="13" fillId="2" borderId="26" xfId="0" applyFont="1" applyFill="1" applyBorder="1" applyAlignment="1" applyProtection="1">
      <alignment vertical="center"/>
      <protection/>
    </xf>
    <xf numFmtId="0" fontId="0" fillId="2" borderId="28" xfId="0" applyFill="1" applyBorder="1" applyAlignment="1" applyProtection="1">
      <alignment vertical="center"/>
      <protection/>
    </xf>
    <xf numFmtId="2" fontId="0" fillId="2" borderId="0" xfId="0" applyNumberFormat="1" applyFill="1" applyBorder="1" applyAlignment="1" applyProtection="1">
      <alignment horizontal="right" vertical="center"/>
      <protection/>
    </xf>
    <xf numFmtId="2" fontId="0" fillId="2" borderId="27" xfId="0" applyNumberFormat="1" applyFill="1" applyBorder="1" applyAlignment="1" applyProtection="1">
      <alignment horizontal="right" vertical="center"/>
      <protection/>
    </xf>
    <xf numFmtId="0" fontId="13" fillId="2" borderId="28" xfId="0" applyFont="1" applyFill="1" applyBorder="1" applyAlignment="1" applyProtection="1">
      <alignment vertical="center"/>
      <protection/>
    </xf>
    <xf numFmtId="2" fontId="0" fillId="2" borderId="27" xfId="0" applyNumberFormat="1" applyFont="1" applyFill="1" applyBorder="1" applyAlignment="1" applyProtection="1">
      <alignment horizontal="right" vertical="center"/>
      <protection/>
    </xf>
    <xf numFmtId="0" fontId="0" fillId="2" borderId="30" xfId="0" applyFill="1" applyBorder="1" applyAlignment="1" applyProtection="1" quotePrefix="1">
      <alignment horizontal="right" vertical="center"/>
      <protection/>
    </xf>
    <xf numFmtId="0" fontId="0" fillId="2" borderId="27" xfId="0" applyFill="1" applyBorder="1" applyAlignment="1" applyProtection="1" quotePrefix="1">
      <alignment horizontal="right" vertical="center"/>
      <protection/>
    </xf>
    <xf numFmtId="2" fontId="0" fillId="2" borderId="30" xfId="0" applyNumberFormat="1" applyFill="1" applyBorder="1" applyAlignment="1" applyProtection="1">
      <alignment horizontal="right" vertical="center"/>
      <protection/>
    </xf>
    <xf numFmtId="2" fontId="0" fillId="2" borderId="0" xfId="0" applyNumberFormat="1" applyFont="1" applyFill="1" applyAlignment="1" applyProtection="1">
      <alignment horizontal="right" vertical="center"/>
      <protection/>
    </xf>
    <xf numFmtId="0" fontId="0" fillId="2" borderId="0" xfId="0" applyFill="1" applyBorder="1" applyAlignment="1" applyProtection="1" quotePrefix="1">
      <alignment horizontal="right" vertical="center"/>
      <protection/>
    </xf>
    <xf numFmtId="0" fontId="0" fillId="2" borderId="27" xfId="0" applyFont="1" applyFill="1" applyBorder="1" applyAlignment="1" applyProtection="1">
      <alignment horizontal="right" vertical="center"/>
      <protection/>
    </xf>
    <xf numFmtId="0" fontId="0" fillId="2" borderId="31" xfId="0" applyFill="1" applyBorder="1" applyAlignment="1" applyProtection="1">
      <alignment vertical="center"/>
      <protection/>
    </xf>
    <xf numFmtId="0" fontId="0" fillId="2" borderId="32" xfId="0" applyFill="1" applyBorder="1" applyAlignment="1" applyProtection="1">
      <alignment vertical="center"/>
      <protection/>
    </xf>
    <xf numFmtId="0" fontId="0" fillId="2" borderId="32" xfId="0" applyFill="1" applyBorder="1" applyAlignment="1" applyProtection="1">
      <alignment horizontal="right" vertical="center"/>
      <protection/>
    </xf>
    <xf numFmtId="0" fontId="0" fillId="2" borderId="33" xfId="0" applyFill="1" applyBorder="1" applyAlignment="1" applyProtection="1">
      <alignment vertical="center"/>
      <protection/>
    </xf>
    <xf numFmtId="0" fontId="6" fillId="2" borderId="0" xfId="0" applyFont="1" applyFill="1" applyAlignment="1" applyProtection="1">
      <alignment vertical="center"/>
      <protection/>
    </xf>
    <xf numFmtId="0" fontId="0" fillId="2" borderId="0" xfId="0" applyFill="1" applyAlignment="1" applyProtection="1">
      <alignment horizontal="left"/>
      <protection/>
    </xf>
    <xf numFmtId="2" fontId="0" fillId="2" borderId="29" xfId="0" applyNumberFormat="1" applyFill="1" applyBorder="1" applyAlignment="1" applyProtection="1">
      <alignment horizontal="right" vertical="center"/>
      <protection locked="0"/>
    </xf>
    <xf numFmtId="0" fontId="0" fillId="2" borderId="29" xfId="0" applyFill="1" applyBorder="1" applyAlignment="1" applyProtection="1">
      <alignment horizontal="right" vertical="center"/>
      <protection locked="0"/>
    </xf>
    <xf numFmtId="0" fontId="0" fillId="2" borderId="0" xfId="0" applyFill="1" applyBorder="1" applyAlignment="1" applyProtection="1">
      <alignment horizontal="right" vertical="center"/>
      <protection locked="0"/>
    </xf>
    <xf numFmtId="0" fontId="0" fillId="2" borderId="0" xfId="0" applyFont="1" applyFill="1" applyBorder="1" applyAlignment="1" applyProtection="1">
      <alignment horizontal="right" vertical="center"/>
      <protection locked="0"/>
    </xf>
    <xf numFmtId="173" fontId="0" fillId="4" borderId="7" xfId="0" applyNumberFormat="1" applyFill="1" applyBorder="1" applyAlignment="1" applyProtection="1">
      <alignment horizontal="center"/>
      <protection locked="0"/>
    </xf>
    <xf numFmtId="173" fontId="0" fillId="4" borderId="8" xfId="0" applyNumberFormat="1" applyFill="1" applyBorder="1" applyAlignment="1" applyProtection="1">
      <alignment horizontal="center"/>
      <protection locked="0"/>
    </xf>
    <xf numFmtId="173" fontId="0" fillId="4" borderId="9" xfId="0" applyNumberFormat="1" applyFill="1" applyBorder="1" applyAlignment="1" applyProtection="1">
      <alignment horizontal="center"/>
      <protection locked="0"/>
    </xf>
    <xf numFmtId="1" fontId="0" fillId="4" borderId="12" xfId="0" applyNumberFormat="1" applyFill="1" applyBorder="1" applyAlignment="1" applyProtection="1">
      <alignment horizontal="center"/>
      <protection locked="0"/>
    </xf>
    <xf numFmtId="1" fontId="0" fillId="4" borderId="13" xfId="0" applyNumberFormat="1" applyFill="1" applyBorder="1" applyAlignment="1" applyProtection="1">
      <alignment horizontal="center"/>
      <protection locked="0"/>
    </xf>
    <xf numFmtId="1" fontId="0" fillId="4" borderId="11" xfId="0" applyNumberFormat="1" applyFill="1" applyBorder="1" applyAlignment="1" applyProtection="1">
      <alignment horizontal="center"/>
      <protection locked="0"/>
    </xf>
    <xf numFmtId="1" fontId="0" fillId="4" borderId="16" xfId="0" applyNumberFormat="1" applyFill="1" applyBorder="1" applyAlignment="1" applyProtection="1">
      <alignment horizontal="center"/>
      <protection locked="0"/>
    </xf>
    <xf numFmtId="1" fontId="0" fillId="4" borderId="17" xfId="0" applyNumberFormat="1" applyFill="1" applyBorder="1" applyAlignment="1" applyProtection="1">
      <alignment horizontal="center"/>
      <protection locked="0"/>
    </xf>
    <xf numFmtId="1" fontId="0" fillId="4" borderId="15" xfId="0" applyNumberFormat="1" applyFill="1" applyBorder="1" applyAlignment="1" applyProtection="1">
      <alignment horizontal="center"/>
      <protection locked="0"/>
    </xf>
    <xf numFmtId="1" fontId="0" fillId="2" borderId="0" xfId="0" applyNumberFormat="1" applyFill="1" applyBorder="1" applyAlignment="1" applyProtection="1">
      <alignment horizontal="right" vertical="center"/>
      <protection/>
    </xf>
    <xf numFmtId="0" fontId="11" fillId="6" borderId="38" xfId="0" applyFont="1" applyFill="1" applyBorder="1" applyAlignment="1" applyProtection="1">
      <alignment vertical="center"/>
      <protection/>
    </xf>
    <xf numFmtId="0" fontId="11" fillId="6" borderId="39" xfId="0" applyFont="1" applyFill="1" applyBorder="1" applyAlignment="1" applyProtection="1">
      <alignment vertical="center"/>
      <protection/>
    </xf>
    <xf numFmtId="0" fontId="9" fillId="7" borderId="37" xfId="0" applyFont="1" applyFill="1" applyBorder="1" applyAlignment="1" applyProtection="1">
      <alignment/>
      <protection/>
    </xf>
    <xf numFmtId="0" fontId="11" fillId="7" borderId="38" xfId="0" applyFont="1" applyFill="1" applyBorder="1" applyAlignment="1" applyProtection="1">
      <alignment/>
      <protection/>
    </xf>
    <xf numFmtId="1" fontId="11" fillId="7" borderId="38" xfId="0" applyNumberFormat="1" applyFont="1" applyFill="1" applyBorder="1" applyAlignment="1" applyProtection="1">
      <alignment/>
      <protection/>
    </xf>
    <xf numFmtId="1" fontId="11" fillId="7" borderId="39" xfId="0" applyNumberFormat="1" applyFont="1" applyFill="1" applyBorder="1" applyAlignment="1" applyProtection="1">
      <alignment/>
      <protection/>
    </xf>
    <xf numFmtId="1" fontId="0" fillId="2" borderId="29" xfId="0" applyNumberFormat="1" applyFont="1" applyFill="1" applyBorder="1" applyAlignment="1" applyProtection="1">
      <alignment/>
      <protection/>
    </xf>
    <xf numFmtId="1" fontId="13" fillId="2" borderId="0" xfId="0" applyNumberFormat="1" applyFont="1" applyFill="1" applyBorder="1" applyAlignment="1" applyProtection="1">
      <alignment/>
      <protection/>
    </xf>
    <xf numFmtId="1" fontId="9" fillId="7" borderId="37" xfId="0" applyNumberFormat="1" applyFont="1" applyFill="1" applyBorder="1" applyAlignment="1" applyProtection="1">
      <alignment/>
      <protection/>
    </xf>
    <xf numFmtId="1" fontId="13" fillId="2" borderId="28" xfId="0" applyNumberFormat="1" applyFont="1" applyFill="1" applyBorder="1" applyAlignment="1" applyProtection="1">
      <alignment/>
      <protection/>
    </xf>
    <xf numFmtId="0" fontId="0" fillId="2" borderId="41" xfId="0" applyFont="1" applyFill="1" applyBorder="1" applyAlignment="1" applyProtection="1">
      <alignment/>
      <protection/>
    </xf>
    <xf numFmtId="0" fontId="6" fillId="2" borderId="0" xfId="0" applyFont="1" applyFill="1" applyAlignment="1" applyProtection="1">
      <alignment horizontal="left"/>
      <protection/>
    </xf>
    <xf numFmtId="0" fontId="19" fillId="2" borderId="0" xfId="20" applyFont="1" applyFill="1" applyAlignment="1" applyProtection="1">
      <alignment/>
      <protection/>
    </xf>
    <xf numFmtId="0" fontId="20" fillId="2" borderId="0" xfId="21" applyFill="1" applyAlignment="1" applyProtection="1">
      <alignment/>
      <protection/>
    </xf>
    <xf numFmtId="0" fontId="0" fillId="2" borderId="33" xfId="0" applyFill="1" applyBorder="1" applyAlignment="1" applyProtection="1">
      <alignment/>
      <protection/>
    </xf>
    <xf numFmtId="0" fontId="11" fillId="5" borderId="38" xfId="0" applyFont="1" applyFill="1" applyBorder="1" applyAlignment="1" applyProtection="1">
      <alignment vertical="center"/>
      <protection/>
    </xf>
    <xf numFmtId="1" fontId="0" fillId="2" borderId="29" xfId="0" applyNumberFormat="1" applyFill="1" applyBorder="1" applyAlignment="1" applyProtection="1">
      <alignment horizontal="right" vertical="center"/>
      <protection/>
    </xf>
    <xf numFmtId="0" fontId="0" fillId="5" borderId="39" xfId="0" applyFill="1" applyBorder="1" applyAlignment="1" applyProtection="1">
      <alignment horizontal="right" vertical="center"/>
      <protection/>
    </xf>
    <xf numFmtId="0" fontId="0" fillId="2" borderId="42" xfId="0" applyFill="1" applyBorder="1" applyAlignment="1" applyProtection="1">
      <alignment vertical="center"/>
      <protection/>
    </xf>
    <xf numFmtId="2" fontId="0" fillId="2" borderId="0" xfId="0" applyNumberFormat="1" applyFont="1" applyFill="1" applyBorder="1" applyAlignment="1" applyProtection="1">
      <alignment horizontal="right" vertical="center"/>
      <protection locked="0"/>
    </xf>
    <xf numFmtId="2" fontId="0" fillId="2" borderId="29" xfId="0" applyNumberFormat="1" applyFont="1" applyFill="1" applyBorder="1" applyAlignment="1" applyProtection="1">
      <alignment horizontal="right" vertical="center"/>
      <protection locked="0"/>
    </xf>
    <xf numFmtId="0" fontId="0" fillId="2" borderId="26" xfId="0" applyFont="1" applyFill="1" applyBorder="1" applyAlignment="1" applyProtection="1">
      <alignment vertical="center" wrapText="1"/>
      <protection/>
    </xf>
    <xf numFmtId="0" fontId="5" fillId="2" borderId="28" xfId="0" applyFont="1" applyFill="1" applyBorder="1" applyAlignment="1" applyProtection="1">
      <alignment vertical="center" wrapText="1"/>
      <protection/>
    </xf>
    <xf numFmtId="0" fontId="21" fillId="2" borderId="30" xfId="0" applyFont="1" applyFill="1" applyBorder="1" applyAlignment="1" applyProtection="1">
      <alignment horizontal="right" vertical="center"/>
      <protection/>
    </xf>
    <xf numFmtId="0" fontId="22" fillId="2" borderId="29" xfId="0" applyFont="1" applyFill="1" applyBorder="1" applyAlignment="1" applyProtection="1">
      <alignment horizontal="left" vertical="center"/>
      <protection locked="0"/>
    </xf>
    <xf numFmtId="0" fontId="0" fillId="2" borderId="0" xfId="0" applyFill="1" applyAlignment="1">
      <alignment/>
    </xf>
    <xf numFmtId="2" fontId="0" fillId="2" borderId="30" xfId="0" applyNumberFormat="1" applyFont="1" applyFill="1" applyBorder="1" applyAlignment="1" applyProtection="1">
      <alignment horizontal="right" vertical="center"/>
      <protection/>
    </xf>
    <xf numFmtId="0" fontId="8" fillId="2" borderId="28" xfId="0" applyFont="1" applyFill="1" applyBorder="1" applyAlignment="1" applyProtection="1">
      <alignment vertical="center"/>
      <protection/>
    </xf>
    <xf numFmtId="2" fontId="8" fillId="2" borderId="29" xfId="0" applyNumberFormat="1" applyFont="1" applyFill="1" applyBorder="1" applyAlignment="1" applyProtection="1">
      <alignment horizontal="right" vertical="center"/>
      <protection locked="0"/>
    </xf>
    <xf numFmtId="0" fontId="0" fillId="2" borderId="22" xfId="0" applyFill="1" applyBorder="1" applyAlignment="1" applyProtection="1">
      <alignment vertical="center"/>
      <protection/>
    </xf>
    <xf numFmtId="0" fontId="9" fillId="7" borderId="37" xfId="0" applyFont="1" applyFill="1" applyBorder="1" applyAlignment="1" applyProtection="1">
      <alignment vertical="center"/>
      <protection/>
    </xf>
    <xf numFmtId="0" fontId="0" fillId="7" borderId="38" xfId="0" applyFill="1" applyBorder="1" applyAlignment="1" applyProtection="1">
      <alignment vertical="center"/>
      <protection/>
    </xf>
    <xf numFmtId="0" fontId="0" fillId="7" borderId="39" xfId="0" applyFill="1" applyBorder="1" applyAlignment="1" applyProtection="1">
      <alignment horizontal="right" vertical="center"/>
      <protection/>
    </xf>
    <xf numFmtId="1" fontId="6" fillId="2" borderId="29" xfId="0" applyNumberFormat="1" applyFont="1" applyFill="1" applyBorder="1" applyAlignment="1" applyProtection="1">
      <alignment horizontal="right" vertical="center"/>
      <protection/>
    </xf>
    <xf numFmtId="0" fontId="24" fillId="2" borderId="28" xfId="0" applyFont="1" applyFill="1" applyBorder="1" applyAlignment="1" applyProtection="1">
      <alignment vertical="center"/>
      <protection/>
    </xf>
    <xf numFmtId="0" fontId="6" fillId="2" borderId="30" xfId="0" applyFont="1" applyFill="1" applyBorder="1" applyAlignment="1" applyProtection="1">
      <alignment horizontal="right" vertical="center"/>
      <protection/>
    </xf>
    <xf numFmtId="1" fontId="13" fillId="2" borderId="26" xfId="0" applyNumberFormat="1" applyFont="1" applyFill="1" applyBorder="1" applyAlignment="1" applyProtection="1">
      <alignment/>
      <protection/>
    </xf>
    <xf numFmtId="0" fontId="6" fillId="2" borderId="18" xfId="0" applyFont="1" applyFill="1" applyBorder="1" applyAlignment="1" applyProtection="1">
      <alignment vertical="center"/>
      <protection/>
    </xf>
    <xf numFmtId="2" fontId="6" fillId="2" borderId="40" xfId="0" applyNumberFormat="1" applyFont="1" applyFill="1" applyBorder="1" applyAlignment="1" applyProtection="1">
      <alignment vertical="center"/>
      <protection/>
    </xf>
    <xf numFmtId="0" fontId="6" fillId="2" borderId="1" xfId="0" applyFont="1" applyFill="1" applyBorder="1" applyAlignment="1" applyProtection="1" quotePrefix="1">
      <alignment horizontal="right" vertical="center"/>
      <protection/>
    </xf>
    <xf numFmtId="0" fontId="24" fillId="2" borderId="43" xfId="0" applyFont="1" applyFill="1" applyBorder="1" applyAlignment="1" applyProtection="1">
      <alignment horizontal="right" vertical="center"/>
      <protection/>
    </xf>
    <xf numFmtId="0" fontId="24" fillId="2" borderId="44" xfId="0" applyFont="1" applyFill="1" applyBorder="1" applyAlignment="1" applyProtection="1">
      <alignment vertical="center"/>
      <protection/>
    </xf>
    <xf numFmtId="0" fontId="0" fillId="2" borderId="45" xfId="0" applyFill="1" applyBorder="1" applyAlignment="1" applyProtection="1">
      <alignment vertical="center"/>
      <protection/>
    </xf>
    <xf numFmtId="0" fontId="0" fillId="2" borderId="21" xfId="0" applyFill="1" applyBorder="1" applyAlignment="1" applyProtection="1">
      <alignment/>
      <protection/>
    </xf>
    <xf numFmtId="0" fontId="0" fillId="2" borderId="22" xfId="0" applyFont="1" applyFill="1" applyBorder="1" applyAlignment="1" applyProtection="1">
      <alignment/>
      <protection/>
    </xf>
    <xf numFmtId="0" fontId="0" fillId="2" borderId="22" xfId="0" applyFill="1" applyBorder="1" applyAlignment="1" applyProtection="1">
      <alignment horizontal="right"/>
      <protection/>
    </xf>
    <xf numFmtId="0" fontId="0" fillId="2" borderId="0" xfId="0" applyFont="1" applyFill="1" applyBorder="1" applyAlignment="1" applyProtection="1">
      <alignment/>
      <protection/>
    </xf>
    <xf numFmtId="0" fontId="0" fillId="2" borderId="0" xfId="0" applyFill="1" applyBorder="1" applyAlignment="1" applyProtection="1">
      <alignment horizontal="right"/>
      <protection/>
    </xf>
    <xf numFmtId="0" fontId="0" fillId="2" borderId="32" xfId="0" applyFill="1" applyBorder="1" applyAlignment="1" applyProtection="1">
      <alignment horizontal="right"/>
      <protection/>
    </xf>
    <xf numFmtId="1" fontId="0" fillId="2" borderId="0" xfId="0" applyNumberFormat="1" applyFill="1" applyBorder="1" applyAlignment="1" applyProtection="1">
      <alignment horizontal="right" vertical="center"/>
      <protection locked="0"/>
    </xf>
    <xf numFmtId="0" fontId="6" fillId="2" borderId="24" xfId="0" applyFont="1" applyFill="1" applyBorder="1" applyAlignment="1" applyProtection="1">
      <alignment vertical="center"/>
      <protection/>
    </xf>
    <xf numFmtId="0" fontId="19" fillId="2" borderId="0" xfId="20" applyFont="1" applyFill="1" applyAlignment="1" applyProtection="1">
      <alignment/>
      <protection/>
    </xf>
    <xf numFmtId="0" fontId="0" fillId="0" borderId="0" xfId="0" applyAlignment="1">
      <alignment/>
    </xf>
    <xf numFmtId="0" fontId="9" fillId="6" borderId="37" xfId="0" applyFont="1" applyFill="1" applyBorder="1" applyAlignment="1" applyProtection="1">
      <alignment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9" fillId="3" borderId="37" xfId="0" applyFont="1" applyFill="1" applyBorder="1" applyAlignment="1" applyProtection="1">
      <alignment vertical="center"/>
      <protection/>
    </xf>
    <xf numFmtId="0" fontId="9" fillId="5" borderId="37" xfId="0" applyFont="1" applyFill="1" applyBorder="1" applyAlignment="1" applyProtection="1">
      <alignment/>
      <protection/>
    </xf>
    <xf numFmtId="0" fontId="0" fillId="5" borderId="38" xfId="0" applyFill="1" applyBorder="1" applyAlignment="1" applyProtection="1">
      <alignment/>
      <protection/>
    </xf>
    <xf numFmtId="0" fontId="0" fillId="5" borderId="39" xfId="0" applyFill="1" applyBorder="1" applyAlignment="1" applyProtection="1">
      <alignment/>
      <protection/>
    </xf>
    <xf numFmtId="0" fontId="9" fillId="3" borderId="18" xfId="0" applyFont="1" applyFill="1" applyBorder="1" applyAlignment="1" applyProtection="1">
      <alignment wrapText="1"/>
      <protection/>
    </xf>
    <xf numFmtId="0" fontId="11" fillId="3" borderId="1" xfId="0" applyFont="1" applyFill="1" applyBorder="1" applyAlignment="1" applyProtection="1">
      <alignment wrapText="1"/>
      <protection/>
    </xf>
    <xf numFmtId="0" fontId="9" fillId="3" borderId="18" xfId="0" applyFont="1" applyFill="1" applyBorder="1" applyAlignment="1" applyProtection="1">
      <alignment wrapText="1"/>
      <protection locked="0"/>
    </xf>
    <xf numFmtId="0" fontId="11" fillId="3" borderId="1" xfId="0" applyFont="1" applyFill="1"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Hyperlink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17.xml.rels><?xml version="1.0" encoding="utf-8" standalone="yes"?><Relationships xmlns="http://schemas.openxmlformats.org/package/2006/relationships"><Relationship Id="rId1" Type="http://schemas.openxmlformats.org/officeDocument/2006/relationships/image" Target="../media/image1.wmf" /></Relationships>
</file>

<file path=xl/drawings/_rels/drawing18.xml.rels><?xml version="1.0" encoding="utf-8" standalone="yes"?><Relationships xmlns="http://schemas.openxmlformats.org/package/2006/relationships"><Relationship Id="rId1" Type="http://schemas.openxmlformats.org/officeDocument/2006/relationships/image" Target="../media/image1.wmf" /></Relationships>
</file>

<file path=xl/drawings/_rels/drawing19.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0.xml.rels><?xml version="1.0" encoding="utf-8" standalone="yes"?><Relationships xmlns="http://schemas.openxmlformats.org/package/2006/relationships"><Relationship Id="rId1" Type="http://schemas.openxmlformats.org/officeDocument/2006/relationships/image" Target="../media/image1.wmf" /></Relationships>
</file>

<file path=xl/drawings/_rels/drawing2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3.xml.rels><?xml version="1.0" encoding="utf-8" standalone="yes"?><Relationships xmlns="http://schemas.openxmlformats.org/package/2006/relationships"><Relationship Id="rId1" Type="http://schemas.openxmlformats.org/officeDocument/2006/relationships/image" Target="../media/image1.wmf"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5.xml.rels><?xml version="1.0" encoding="utf-8" standalone="yes"?><Relationships xmlns="http://schemas.openxmlformats.org/package/2006/relationships"><Relationship Id="rId1" Type="http://schemas.openxmlformats.org/officeDocument/2006/relationships/image" Target="../media/image1.wmf" /></Relationships>
</file>

<file path=xl/drawings/_rels/drawing26.xml.rels><?xml version="1.0" encoding="utf-8" standalone="yes"?><Relationships xmlns="http://schemas.openxmlformats.org/package/2006/relationships"><Relationship Id="rId1" Type="http://schemas.openxmlformats.org/officeDocument/2006/relationships/image" Target="../media/image1.wmf" /></Relationships>
</file>

<file path=xl/drawings/_rels/drawing27.xml.rels><?xml version="1.0" encoding="utf-8" standalone="yes"?><Relationships xmlns="http://schemas.openxmlformats.org/package/2006/relationships"><Relationship Id="rId1" Type="http://schemas.openxmlformats.org/officeDocument/2006/relationships/image" Target="../media/image1.wmf" /></Relationships>
</file>

<file path=xl/drawings/_rels/drawing28.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14</xdr:col>
      <xdr:colOff>85725</xdr:colOff>
      <xdr:row>12</xdr:row>
      <xdr:rowOff>57150</xdr:rowOff>
    </xdr:to>
    <xdr:grpSp>
      <xdr:nvGrpSpPr>
        <xdr:cNvPr id="1" name="Group 5"/>
        <xdr:cNvGrpSpPr>
          <a:grpSpLocks noChangeAspect="1"/>
        </xdr:cNvGrpSpPr>
      </xdr:nvGrpSpPr>
      <xdr:grpSpPr>
        <a:xfrm>
          <a:off x="180975" y="19050"/>
          <a:ext cx="9591675" cy="1981200"/>
          <a:chOff x="305" y="210"/>
          <a:chExt cx="4128" cy="852"/>
        </a:xfrm>
        <a:solidFill>
          <a:srgbClr val="FFFFFF"/>
        </a:solidFill>
      </xdr:grpSpPr>
      <xdr:pic>
        <xdr:nvPicPr>
          <xdr:cNvPr id="2" name="Picture 6"/>
          <xdr:cNvPicPr preferRelativeResize="1">
            <a:picLocks noChangeAspect="1"/>
          </xdr:cNvPicPr>
        </xdr:nvPicPr>
        <xdr:blipFill>
          <a:blip r:embed="rId1"/>
          <a:stretch>
            <a:fillRect/>
          </a:stretch>
        </xdr:blipFill>
        <xdr:spPr>
          <a:xfrm>
            <a:off x="305" y="210"/>
            <a:ext cx="2752" cy="669"/>
          </a:xfrm>
          <a:prstGeom prst="rect">
            <a:avLst/>
          </a:prstGeom>
          <a:noFill/>
          <a:ln w="9525" cmpd="sng">
            <a:noFill/>
          </a:ln>
        </xdr:spPr>
      </xdr:pic>
      <xdr:pic>
        <xdr:nvPicPr>
          <xdr:cNvPr id="3" name="Picture 7"/>
          <xdr:cNvPicPr preferRelativeResize="1">
            <a:picLocks noChangeAspect="1"/>
          </xdr:cNvPicPr>
        </xdr:nvPicPr>
        <xdr:blipFill>
          <a:blip r:embed="rId1"/>
          <a:srcRect l="95849"/>
          <a:stretch>
            <a:fillRect/>
          </a:stretch>
        </xdr:blipFill>
        <xdr:spPr>
          <a:xfrm>
            <a:off x="3046" y="210"/>
            <a:ext cx="1387" cy="669"/>
          </a:xfrm>
          <a:prstGeom prst="rect">
            <a:avLst/>
          </a:prstGeom>
          <a:noFill/>
          <a:ln w="9525" cmpd="sng">
            <a:noFill/>
          </a:ln>
        </xdr:spPr>
      </xdr:pic>
      <xdr:grpSp>
        <xdr:nvGrpSpPr>
          <xdr:cNvPr id="4" name="Group 8"/>
          <xdr:cNvGrpSpPr>
            <a:grpSpLocks noChangeAspect="1"/>
          </xdr:cNvGrpSpPr>
        </xdr:nvGrpSpPr>
        <xdr:grpSpPr>
          <a:xfrm>
            <a:off x="305" y="810"/>
            <a:ext cx="4128" cy="252"/>
            <a:chOff x="305" y="810"/>
            <a:chExt cx="4128" cy="217"/>
          </a:xfrm>
          <a:solidFill>
            <a:srgbClr val="FFFFFF"/>
          </a:solidFill>
        </xdr:grpSpPr>
        <xdr:pic>
          <xdr:nvPicPr>
            <xdr:cNvPr id="5" name="Picture 9"/>
            <xdr:cNvPicPr preferRelativeResize="1">
              <a:picLocks noChangeAspect="1"/>
            </xdr:cNvPicPr>
          </xdr:nvPicPr>
          <xdr:blipFill>
            <a:blip r:embed="rId1"/>
            <a:srcRect t="89686"/>
            <a:stretch>
              <a:fillRect/>
            </a:stretch>
          </xdr:blipFill>
          <xdr:spPr>
            <a:xfrm>
              <a:off x="1681" y="810"/>
              <a:ext cx="2752" cy="217"/>
            </a:xfrm>
            <a:prstGeom prst="rect">
              <a:avLst/>
            </a:prstGeom>
            <a:noFill/>
            <a:ln w="9525" cmpd="sng">
              <a:noFill/>
            </a:ln>
          </xdr:spPr>
        </xdr:pic>
        <xdr:pic>
          <xdr:nvPicPr>
            <xdr:cNvPr id="6" name="Picture 10"/>
            <xdr:cNvPicPr preferRelativeResize="1">
              <a:picLocks noChangeAspect="1"/>
            </xdr:cNvPicPr>
          </xdr:nvPicPr>
          <xdr:blipFill>
            <a:blip r:embed="rId1"/>
            <a:srcRect t="89686"/>
            <a:stretch>
              <a:fillRect/>
            </a:stretch>
          </xdr:blipFill>
          <xdr:spPr>
            <a:xfrm>
              <a:off x="305" y="810"/>
              <a:ext cx="2752" cy="217"/>
            </a:xfrm>
            <a:prstGeom prst="rect">
              <a:avLst/>
            </a:prstGeom>
            <a:noFill/>
            <a:ln w="9525" cmpd="sng">
              <a:noFill/>
            </a:ln>
          </xdr:spPr>
        </xdr:pic>
      </xdr:grp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2"/>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5"/>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4</xdr:row>
      <xdr:rowOff>47625</xdr:rowOff>
    </xdr:from>
    <xdr:to>
      <xdr:col>13</xdr:col>
      <xdr:colOff>9525</xdr:colOff>
      <xdr:row>10</xdr:row>
      <xdr:rowOff>0</xdr:rowOff>
    </xdr:to>
    <xdr:pic>
      <xdr:nvPicPr>
        <xdr:cNvPr id="1" name="Picture 81"/>
        <xdr:cNvPicPr preferRelativeResize="1">
          <a:picLocks noChangeAspect="1"/>
        </xdr:cNvPicPr>
      </xdr:nvPicPr>
      <xdr:blipFill>
        <a:blip r:embed="rId1"/>
        <a:stretch>
          <a:fillRect/>
        </a:stretch>
      </xdr:blipFill>
      <xdr:spPr>
        <a:xfrm>
          <a:off x="6315075" y="762000"/>
          <a:ext cx="3848100" cy="9429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2"/>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371475</xdr:colOff>
      <xdr:row>1</xdr:row>
      <xdr:rowOff>152400</xdr:rowOff>
    </xdr:from>
    <xdr:to>
      <xdr:col>17</xdr:col>
      <xdr:colOff>0</xdr:colOff>
      <xdr:row>4</xdr:row>
      <xdr:rowOff>104775</xdr:rowOff>
    </xdr:to>
    <xdr:pic>
      <xdr:nvPicPr>
        <xdr:cNvPr id="1" name="Picture 5"/>
        <xdr:cNvPicPr preferRelativeResize="1">
          <a:picLocks noChangeAspect="1"/>
        </xdr:cNvPicPr>
      </xdr:nvPicPr>
      <xdr:blipFill>
        <a:blip r:embed="rId1"/>
        <a:stretch>
          <a:fillRect/>
        </a:stretch>
      </xdr:blipFill>
      <xdr:spPr>
        <a:xfrm>
          <a:off x="9067800" y="314325"/>
          <a:ext cx="1790700" cy="4381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371475</xdr:colOff>
      <xdr:row>1</xdr:row>
      <xdr:rowOff>152400</xdr:rowOff>
    </xdr:from>
    <xdr:to>
      <xdr:col>17</xdr:col>
      <xdr:colOff>0</xdr:colOff>
      <xdr:row>4</xdr:row>
      <xdr:rowOff>104775</xdr:rowOff>
    </xdr:to>
    <xdr:pic>
      <xdr:nvPicPr>
        <xdr:cNvPr id="1" name="Picture 5"/>
        <xdr:cNvPicPr preferRelativeResize="1">
          <a:picLocks noChangeAspect="1"/>
        </xdr:cNvPicPr>
      </xdr:nvPicPr>
      <xdr:blipFill>
        <a:blip r:embed="rId1"/>
        <a:stretch>
          <a:fillRect/>
        </a:stretch>
      </xdr:blipFill>
      <xdr:spPr>
        <a:xfrm>
          <a:off x="9067800" y="314325"/>
          <a:ext cx="179070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371475</xdr:colOff>
      <xdr:row>2</xdr:row>
      <xdr:rowOff>152400</xdr:rowOff>
    </xdr:from>
    <xdr:to>
      <xdr:col>17</xdr:col>
      <xdr:colOff>0</xdr:colOff>
      <xdr:row>5</xdr:row>
      <xdr:rowOff>104775</xdr:rowOff>
    </xdr:to>
    <xdr:pic>
      <xdr:nvPicPr>
        <xdr:cNvPr id="1" name="Picture 174"/>
        <xdr:cNvPicPr preferRelativeResize="1">
          <a:picLocks noChangeAspect="1"/>
        </xdr:cNvPicPr>
      </xdr:nvPicPr>
      <xdr:blipFill>
        <a:blip r:embed="rId1"/>
        <a:stretch>
          <a:fillRect/>
        </a:stretch>
      </xdr:blipFill>
      <xdr:spPr>
        <a:xfrm>
          <a:off x="9067800" y="476250"/>
          <a:ext cx="179070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352425</xdr:colOff>
      <xdr:row>2</xdr:row>
      <xdr:rowOff>142875</xdr:rowOff>
    </xdr:from>
    <xdr:to>
      <xdr:col>16</xdr:col>
      <xdr:colOff>200025</xdr:colOff>
      <xdr:row>5</xdr:row>
      <xdr:rowOff>95250</xdr:rowOff>
    </xdr:to>
    <xdr:pic>
      <xdr:nvPicPr>
        <xdr:cNvPr id="1" name="Picture 5"/>
        <xdr:cNvPicPr preferRelativeResize="1">
          <a:picLocks noChangeAspect="1"/>
        </xdr:cNvPicPr>
      </xdr:nvPicPr>
      <xdr:blipFill>
        <a:blip r:embed="rId1"/>
        <a:stretch>
          <a:fillRect/>
        </a:stretch>
      </xdr:blipFill>
      <xdr:spPr>
        <a:xfrm>
          <a:off x="9048750" y="466725"/>
          <a:ext cx="1790700"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6</xdr:row>
      <xdr:rowOff>161925</xdr:rowOff>
    </xdr:from>
    <xdr:to>
      <xdr:col>9</xdr:col>
      <xdr:colOff>257175</xdr:colOff>
      <xdr:row>9</xdr:row>
      <xdr:rowOff>66675</xdr:rowOff>
    </xdr:to>
    <xdr:pic>
      <xdr:nvPicPr>
        <xdr:cNvPr id="1" name="Picture 2"/>
        <xdr:cNvPicPr preferRelativeResize="1">
          <a:picLocks noChangeAspect="1"/>
        </xdr:cNvPicPr>
      </xdr:nvPicPr>
      <xdr:blipFill>
        <a:blip r:embed="rId1"/>
        <a:stretch>
          <a:fillRect/>
        </a:stretch>
      </xdr:blipFill>
      <xdr:spPr>
        <a:xfrm>
          <a:off x="4029075" y="1133475"/>
          <a:ext cx="1790700"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7</xdr:row>
      <xdr:rowOff>0</xdr:rowOff>
    </xdr:from>
    <xdr:to>
      <xdr:col>9</xdr:col>
      <xdr:colOff>228600</xdr:colOff>
      <xdr:row>9</xdr:row>
      <xdr:rowOff>76200</xdr:rowOff>
    </xdr:to>
    <xdr:pic>
      <xdr:nvPicPr>
        <xdr:cNvPr id="1" name="Picture 4"/>
        <xdr:cNvPicPr preferRelativeResize="1">
          <a:picLocks noChangeAspect="1"/>
        </xdr:cNvPicPr>
      </xdr:nvPicPr>
      <xdr:blipFill>
        <a:blip r:embed="rId1"/>
        <a:stretch>
          <a:fillRect/>
        </a:stretch>
      </xdr:blipFill>
      <xdr:spPr>
        <a:xfrm>
          <a:off x="4000500" y="1143000"/>
          <a:ext cx="1790700" cy="457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15</xdr:row>
      <xdr:rowOff>76200</xdr:rowOff>
    </xdr:from>
    <xdr:to>
      <xdr:col>3</xdr:col>
      <xdr:colOff>219075</xdr:colOff>
      <xdr:row>18</xdr:row>
      <xdr:rowOff>28575</xdr:rowOff>
    </xdr:to>
    <xdr:pic>
      <xdr:nvPicPr>
        <xdr:cNvPr id="1" name="Picture 1"/>
        <xdr:cNvPicPr preferRelativeResize="1">
          <a:picLocks noChangeAspect="1"/>
        </xdr:cNvPicPr>
      </xdr:nvPicPr>
      <xdr:blipFill>
        <a:blip r:embed="rId1"/>
        <a:stretch>
          <a:fillRect/>
        </a:stretch>
      </xdr:blipFill>
      <xdr:spPr>
        <a:xfrm>
          <a:off x="419100" y="2562225"/>
          <a:ext cx="1790700" cy="438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11</xdr:row>
      <xdr:rowOff>152400</xdr:rowOff>
    </xdr:from>
    <xdr:to>
      <xdr:col>2</xdr:col>
      <xdr:colOff>1895475</xdr:colOff>
      <xdr:row>14</xdr:row>
      <xdr:rowOff>104775</xdr:rowOff>
    </xdr:to>
    <xdr:pic>
      <xdr:nvPicPr>
        <xdr:cNvPr id="1" name="Picture 1"/>
        <xdr:cNvPicPr preferRelativeResize="1">
          <a:picLocks noChangeAspect="1"/>
        </xdr:cNvPicPr>
      </xdr:nvPicPr>
      <xdr:blipFill>
        <a:blip r:embed="rId1"/>
        <a:stretch>
          <a:fillRect/>
        </a:stretch>
      </xdr:blipFill>
      <xdr:spPr>
        <a:xfrm>
          <a:off x="542925" y="2057400"/>
          <a:ext cx="17907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ult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a-nr.org/files/Functional%20specifications%20of%20the%20software.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pa-nr.org/files/Functional%20specifications%20of%20the%20software.pdf"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nr.org/files/Functional%20specifications%20of%20the%20software.pdf"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nr.org/files/Functional%20specifications%20of%20the%20software.pdf"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nr.org/files/Functional%20specifications%20of%20the%20software.pdf"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pa-nr.org/files/Functional%20specifications%20of%20the%20software.pdf"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7"/>
  <dimension ref="A15:N44"/>
  <sheetViews>
    <sheetView workbookViewId="0" topLeftCell="A1">
      <selection activeCell="Q18" sqref="Q18"/>
    </sheetView>
  </sheetViews>
  <sheetFormatPr defaultColWidth="9.140625" defaultRowHeight="12.75"/>
  <cols>
    <col min="1" max="2" width="3.28125" style="3" customWidth="1"/>
    <col min="3" max="3" width="22.7109375" style="3" customWidth="1"/>
    <col min="4" max="4" width="24.57421875" style="3" customWidth="1"/>
    <col min="5" max="16384" width="9.140625" style="3" customWidth="1"/>
  </cols>
  <sheetData>
    <row r="1" ht="12.75"/>
    <row r="2" ht="12.75"/>
    <row r="3" ht="12.75"/>
    <row r="4" ht="12.75"/>
    <row r="5" ht="12.75"/>
    <row r="6" ht="12.75"/>
    <row r="7" ht="12.75"/>
    <row r="8" ht="12.75"/>
    <row r="9" ht="12.75"/>
    <row r="10" ht="12.75"/>
    <row r="11" ht="12.75"/>
    <row r="12" ht="12.75"/>
    <row r="13" ht="12.75"/>
    <row r="15" ht="12.75">
      <c r="B15" s="26" t="s">
        <v>178</v>
      </c>
    </row>
    <row r="16" spans="2:12" ht="12.75">
      <c r="B16" s="230" t="s">
        <v>244</v>
      </c>
      <c r="C16" s="231"/>
      <c r="D16" s="231"/>
      <c r="L16" s="130"/>
    </row>
    <row r="18" ht="12.75">
      <c r="B18" s="3" t="s">
        <v>179</v>
      </c>
    </row>
    <row r="19" ht="13.5" thickBot="1">
      <c r="B19" s="55"/>
    </row>
    <row r="20" spans="1:14" ht="13.5" thickTop="1">
      <c r="A20" s="44"/>
      <c r="B20" s="43" t="s">
        <v>27</v>
      </c>
      <c r="C20" s="40"/>
      <c r="D20" s="40"/>
      <c r="E20" s="40"/>
      <c r="F20" s="40"/>
      <c r="G20" s="40"/>
      <c r="H20" s="40"/>
      <c r="I20" s="40"/>
      <c r="J20" s="40"/>
      <c r="K20" s="40"/>
      <c r="L20" s="40"/>
      <c r="M20" s="40"/>
      <c r="N20" s="41"/>
    </row>
    <row r="21" spans="2:14" ht="12.75">
      <c r="B21" s="42"/>
      <c r="D21" s="37"/>
      <c r="E21" s="37"/>
      <c r="F21" s="37"/>
      <c r="G21" s="37"/>
      <c r="H21" s="37"/>
      <c r="I21" s="37"/>
      <c r="J21" s="37"/>
      <c r="K21" s="37"/>
      <c r="L21" s="37"/>
      <c r="M21" s="37"/>
      <c r="N21" s="44"/>
    </row>
    <row r="22" spans="2:14" ht="12.75">
      <c r="B22" s="42"/>
      <c r="C22" s="28" t="s">
        <v>258</v>
      </c>
      <c r="D22" s="37" t="s">
        <v>259</v>
      </c>
      <c r="E22" s="37" t="s">
        <v>177</v>
      </c>
      <c r="F22" s="37"/>
      <c r="G22" s="37"/>
      <c r="H22" s="37"/>
      <c r="I22" s="37"/>
      <c r="J22" s="37"/>
      <c r="K22" s="37"/>
      <c r="L22" s="37"/>
      <c r="M22" s="37"/>
      <c r="N22" s="44"/>
    </row>
    <row r="23" spans="2:14" ht="12.75">
      <c r="B23" s="42"/>
      <c r="C23" s="43"/>
      <c r="D23" s="37"/>
      <c r="E23" s="37"/>
      <c r="F23" s="37"/>
      <c r="G23" s="37"/>
      <c r="H23" s="37"/>
      <c r="I23" s="37"/>
      <c r="J23" s="37"/>
      <c r="K23" s="37"/>
      <c r="L23" s="37"/>
      <c r="M23" s="37"/>
      <c r="N23" s="44"/>
    </row>
    <row r="24" spans="2:14" ht="12.75">
      <c r="B24" s="42"/>
      <c r="C24" s="37" t="s">
        <v>28</v>
      </c>
      <c r="D24" s="37" t="s">
        <v>29</v>
      </c>
      <c r="E24" s="37" t="s">
        <v>32</v>
      </c>
      <c r="F24" s="37"/>
      <c r="G24" s="37"/>
      <c r="H24" s="37"/>
      <c r="I24" s="37"/>
      <c r="J24" s="37"/>
      <c r="K24" s="37"/>
      <c r="L24" s="37"/>
      <c r="M24" s="37"/>
      <c r="N24" s="44"/>
    </row>
    <row r="25" spans="2:14" ht="12.75">
      <c r="B25" s="42"/>
      <c r="C25" s="37"/>
      <c r="D25" s="37" t="s">
        <v>30</v>
      </c>
      <c r="E25" s="37" t="s">
        <v>33</v>
      </c>
      <c r="F25" s="37"/>
      <c r="G25" s="37"/>
      <c r="H25" s="37"/>
      <c r="I25" s="37"/>
      <c r="J25" s="37"/>
      <c r="K25" s="37"/>
      <c r="L25" s="37"/>
      <c r="M25" s="37"/>
      <c r="N25" s="44"/>
    </row>
    <row r="26" spans="2:14" ht="12.75">
      <c r="B26" s="42"/>
      <c r="C26" s="37"/>
      <c r="D26" s="37" t="s">
        <v>31</v>
      </c>
      <c r="E26" s="37" t="s">
        <v>34</v>
      </c>
      <c r="F26" s="37"/>
      <c r="G26" s="37"/>
      <c r="H26" s="37"/>
      <c r="I26" s="37"/>
      <c r="J26" s="37"/>
      <c r="K26" s="37"/>
      <c r="L26" s="37"/>
      <c r="M26" s="37"/>
      <c r="N26" s="44"/>
    </row>
    <row r="27" spans="2:14" ht="12.75">
      <c r="B27" s="42"/>
      <c r="C27" s="37"/>
      <c r="D27" s="37" t="s">
        <v>248</v>
      </c>
      <c r="E27" s="37" t="s">
        <v>35</v>
      </c>
      <c r="F27" s="37"/>
      <c r="G27" s="37"/>
      <c r="H27" s="37"/>
      <c r="I27" s="37"/>
      <c r="J27" s="37"/>
      <c r="K27" s="37"/>
      <c r="L27" s="37"/>
      <c r="M27" s="37"/>
      <c r="N27" s="44"/>
    </row>
    <row r="28" spans="2:14" ht="12.75">
      <c r="B28" s="42"/>
      <c r="C28" s="37"/>
      <c r="D28" s="37" t="s">
        <v>253</v>
      </c>
      <c r="E28" s="37" t="s">
        <v>254</v>
      </c>
      <c r="F28" s="37"/>
      <c r="G28" s="37"/>
      <c r="H28" s="37"/>
      <c r="I28" s="37"/>
      <c r="J28" s="37"/>
      <c r="K28" s="37"/>
      <c r="L28" s="37"/>
      <c r="M28" s="37"/>
      <c r="N28" s="44"/>
    </row>
    <row r="29" spans="2:14" ht="12.75">
      <c r="B29" s="42"/>
      <c r="C29" s="37"/>
      <c r="D29" s="37" t="s">
        <v>255</v>
      </c>
      <c r="E29" s="37" t="s">
        <v>256</v>
      </c>
      <c r="F29" s="37"/>
      <c r="G29" s="37"/>
      <c r="H29" s="37"/>
      <c r="I29" s="37"/>
      <c r="J29" s="37"/>
      <c r="K29" s="37"/>
      <c r="L29" s="37"/>
      <c r="M29" s="37"/>
      <c r="N29" s="44"/>
    </row>
    <row r="30" spans="2:14" ht="12.75">
      <c r="B30" s="42"/>
      <c r="C30" s="37"/>
      <c r="D30" s="37"/>
      <c r="E30" s="37"/>
      <c r="F30" s="37"/>
      <c r="G30" s="37"/>
      <c r="H30" s="37"/>
      <c r="I30" s="37"/>
      <c r="J30" s="37"/>
      <c r="K30" s="37"/>
      <c r="L30" s="37"/>
      <c r="M30" s="37"/>
      <c r="N30" s="44"/>
    </row>
    <row r="31" spans="2:14" ht="12.75">
      <c r="B31" s="42"/>
      <c r="C31" s="37" t="s">
        <v>176</v>
      </c>
      <c r="D31" s="37" t="s">
        <v>249</v>
      </c>
      <c r="E31" s="37"/>
      <c r="F31" s="37"/>
      <c r="G31" s="37"/>
      <c r="H31" s="37"/>
      <c r="I31" s="37"/>
      <c r="J31" s="37"/>
      <c r="K31" s="37"/>
      <c r="L31" s="37"/>
      <c r="M31" s="37"/>
      <c r="N31" s="44"/>
    </row>
    <row r="32" spans="2:14" ht="12.75">
      <c r="B32" s="42"/>
      <c r="C32" s="37"/>
      <c r="D32" s="37"/>
      <c r="E32" s="37"/>
      <c r="F32" s="37"/>
      <c r="G32" s="37"/>
      <c r="H32" s="37"/>
      <c r="I32" s="37"/>
      <c r="J32" s="37"/>
      <c r="K32" s="37"/>
      <c r="L32" s="37"/>
      <c r="M32" s="37"/>
      <c r="N32" s="44"/>
    </row>
    <row r="33" spans="2:14" ht="13.5" thickBot="1">
      <c r="B33" s="54"/>
      <c r="C33" s="55"/>
      <c r="D33" s="55"/>
      <c r="E33" s="55"/>
      <c r="F33" s="55"/>
      <c r="G33" s="55"/>
      <c r="H33" s="55"/>
      <c r="I33" s="55"/>
      <c r="J33" s="55"/>
      <c r="K33" s="55"/>
      <c r="L33" s="55"/>
      <c r="M33" s="55"/>
      <c r="N33" s="193"/>
    </row>
    <row r="34" ht="13.5" thickTop="1"/>
    <row r="44" ht="12.75">
      <c r="D44" s="192"/>
    </row>
  </sheetData>
  <sheetProtection sheet="1" objects="1" scenarios="1"/>
  <mergeCells count="1">
    <mergeCell ref="B16:D16"/>
  </mergeCells>
  <hyperlinks>
    <hyperlink ref="B16" r:id="rId1" tooltip="Download report from www.epa-nr.org" display="Click here to download the report from www.epa-nr.org"/>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sheetPr codeName="Sheet28"/>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212</v>
      </c>
      <c r="C2" s="3"/>
    </row>
    <row r="3" ht="13.5" thickBot="1"/>
    <row r="4" spans="3:16" ht="13.5" thickBot="1">
      <c r="C4" s="241" t="s">
        <v>211</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c r="F5" s="170"/>
      <c r="G5" s="170"/>
      <c r="H5" s="170"/>
      <c r="I5" s="170"/>
      <c r="J5" s="170"/>
      <c r="K5" s="170"/>
      <c r="L5" s="170"/>
      <c r="M5" s="170"/>
      <c r="N5" s="170"/>
      <c r="O5" s="170"/>
      <c r="P5" s="171"/>
    </row>
    <row r="6" spans="3:16" s="13" customFormat="1" ht="14.25">
      <c r="C6" s="14" t="s">
        <v>15</v>
      </c>
      <c r="D6" s="15" t="s">
        <v>49</v>
      </c>
      <c r="E6" s="172"/>
      <c r="F6" s="173"/>
      <c r="G6" s="173"/>
      <c r="H6" s="173"/>
      <c r="I6" s="173"/>
      <c r="J6" s="173"/>
      <c r="K6" s="173"/>
      <c r="L6" s="173"/>
      <c r="M6" s="173"/>
      <c r="N6" s="173"/>
      <c r="O6" s="173"/>
      <c r="P6" s="174"/>
    </row>
    <row r="7" spans="3:16" s="13" customFormat="1" ht="14.25">
      <c r="C7" s="14" t="s">
        <v>16</v>
      </c>
      <c r="D7" s="15" t="s">
        <v>49</v>
      </c>
      <c r="E7" s="172"/>
      <c r="F7" s="173"/>
      <c r="G7" s="173"/>
      <c r="H7" s="173"/>
      <c r="I7" s="173"/>
      <c r="J7" s="173"/>
      <c r="K7" s="173"/>
      <c r="L7" s="173"/>
      <c r="M7" s="173"/>
      <c r="N7" s="173"/>
      <c r="O7" s="173"/>
      <c r="P7" s="174"/>
    </row>
    <row r="8" spans="3:16" s="13" customFormat="1" ht="14.25">
      <c r="C8" s="14" t="s">
        <v>17</v>
      </c>
      <c r="D8" s="15" t="s">
        <v>49</v>
      </c>
      <c r="E8" s="172"/>
      <c r="F8" s="173"/>
      <c r="G8" s="173"/>
      <c r="H8" s="173"/>
      <c r="I8" s="173"/>
      <c r="J8" s="173"/>
      <c r="K8" s="173"/>
      <c r="L8" s="173"/>
      <c r="M8" s="173"/>
      <c r="N8" s="173"/>
      <c r="O8" s="173"/>
      <c r="P8" s="174"/>
    </row>
    <row r="9" spans="3:16" s="13" customFormat="1" ht="14.25">
      <c r="C9" s="14" t="s">
        <v>18</v>
      </c>
      <c r="D9" s="15" t="s">
        <v>49</v>
      </c>
      <c r="E9" s="172"/>
      <c r="F9" s="173"/>
      <c r="G9" s="173"/>
      <c r="H9" s="173"/>
      <c r="I9" s="173"/>
      <c r="J9" s="173"/>
      <c r="K9" s="173"/>
      <c r="L9" s="173"/>
      <c r="M9" s="173"/>
      <c r="N9" s="173"/>
      <c r="O9" s="173"/>
      <c r="P9" s="174"/>
    </row>
    <row r="10" spans="3:16" ht="15" thickBot="1">
      <c r="C10" s="19" t="s">
        <v>46</v>
      </c>
      <c r="D10" s="20" t="s">
        <v>49</v>
      </c>
      <c r="E10" s="175"/>
      <c r="F10" s="176"/>
      <c r="G10" s="176"/>
      <c r="H10" s="176"/>
      <c r="I10" s="176"/>
      <c r="J10" s="176"/>
      <c r="K10" s="176"/>
      <c r="L10" s="176"/>
      <c r="M10" s="176"/>
      <c r="N10" s="176"/>
      <c r="O10" s="176"/>
      <c r="P10" s="177"/>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5"/>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48</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2.5</v>
      </c>
      <c r="F5" s="170">
        <v>2.7</v>
      </c>
      <c r="G5" s="170">
        <v>5.6</v>
      </c>
      <c r="H5" s="170">
        <v>8</v>
      </c>
      <c r="I5" s="170">
        <v>12</v>
      </c>
      <c r="J5" s="170">
        <v>15.5</v>
      </c>
      <c r="K5" s="170">
        <v>17</v>
      </c>
      <c r="L5" s="170">
        <v>16.4</v>
      </c>
      <c r="M5" s="170">
        <v>13.8</v>
      </c>
      <c r="N5" s="170">
        <v>11.2</v>
      </c>
      <c r="O5" s="170">
        <v>5.9</v>
      </c>
      <c r="P5" s="171">
        <v>3.4</v>
      </c>
    </row>
    <row r="6" spans="3:16" s="13" customFormat="1" ht="14.25">
      <c r="C6" s="14" t="s">
        <v>15</v>
      </c>
      <c r="D6" s="15" t="s">
        <v>49</v>
      </c>
      <c r="E6" s="172">
        <v>17.174432497013143</v>
      </c>
      <c r="F6" s="173">
        <v>30.17526455026455</v>
      </c>
      <c r="G6" s="173">
        <v>61.60394265232975</v>
      </c>
      <c r="H6" s="173">
        <v>92.20679012345678</v>
      </c>
      <c r="I6" s="173">
        <v>119.84767025089606</v>
      </c>
      <c r="J6" s="173">
        <v>136.18827160493828</v>
      </c>
      <c r="K6" s="173">
        <v>116.48745519713262</v>
      </c>
      <c r="L6" s="173">
        <v>118.72759856630825</v>
      </c>
      <c r="M6" s="173">
        <v>74.84567901234567</v>
      </c>
      <c r="N6" s="173">
        <v>42.56272401433692</v>
      </c>
      <c r="O6" s="173">
        <v>20.833333333333332</v>
      </c>
      <c r="P6" s="174">
        <v>14.560931899641577</v>
      </c>
    </row>
    <row r="7" spans="3:16" s="13" customFormat="1" ht="14.25">
      <c r="C7" s="14" t="s">
        <v>16</v>
      </c>
      <c r="D7" s="15" t="s">
        <v>49</v>
      </c>
      <c r="E7" s="172">
        <v>39.94922341696535</v>
      </c>
      <c r="F7" s="173">
        <v>59.110449735449734</v>
      </c>
      <c r="G7" s="173">
        <v>102.67323775388292</v>
      </c>
      <c r="H7" s="173">
        <v>119.59876543209876</v>
      </c>
      <c r="I7" s="173">
        <v>120.221027479092</v>
      </c>
      <c r="J7" s="173">
        <v>123.8425925925926</v>
      </c>
      <c r="K7" s="173">
        <v>113.87395459976105</v>
      </c>
      <c r="L7" s="173">
        <v>139.63560334528077</v>
      </c>
      <c r="M7" s="173">
        <v>107.63888888888889</v>
      </c>
      <c r="N7" s="173">
        <v>82.88530465949822</v>
      </c>
      <c r="O7" s="173">
        <v>50.54012345679012</v>
      </c>
      <c r="P7" s="174">
        <v>34.348864994026286</v>
      </c>
    </row>
    <row r="8" spans="3:16" s="13" customFormat="1" ht="14.25">
      <c r="C8" s="14" t="s">
        <v>17</v>
      </c>
      <c r="D8" s="15" t="s">
        <v>49</v>
      </c>
      <c r="E8" s="172">
        <v>17.174432497013143</v>
      </c>
      <c r="F8" s="173">
        <v>30.17526455026455</v>
      </c>
      <c r="G8" s="173">
        <v>61.60394265232975</v>
      </c>
      <c r="H8" s="173">
        <v>92.20679012345678</v>
      </c>
      <c r="I8" s="173">
        <v>119.84767025089606</v>
      </c>
      <c r="J8" s="173">
        <v>136.18827160493828</v>
      </c>
      <c r="K8" s="173">
        <v>116.48745519713262</v>
      </c>
      <c r="L8" s="173">
        <v>118.72759856630825</v>
      </c>
      <c r="M8" s="173">
        <v>74.84567901234567</v>
      </c>
      <c r="N8" s="173">
        <v>42.56272401433692</v>
      </c>
      <c r="O8" s="173">
        <v>20.833333333333332</v>
      </c>
      <c r="P8" s="174">
        <v>14.560931899641577</v>
      </c>
    </row>
    <row r="9" spans="3:16" s="13" customFormat="1" ht="14.25">
      <c r="C9" s="14" t="s">
        <v>18</v>
      </c>
      <c r="D9" s="15" t="s">
        <v>49</v>
      </c>
      <c r="E9" s="172">
        <v>11.574074074074074</v>
      </c>
      <c r="F9" s="173">
        <v>20.25462962962963</v>
      </c>
      <c r="G9" s="173">
        <v>36.21565113500598</v>
      </c>
      <c r="H9" s="173">
        <v>49.76851851851852</v>
      </c>
      <c r="I9" s="173">
        <v>70.56451612903226</v>
      </c>
      <c r="J9" s="173">
        <v>85.26234567901234</v>
      </c>
      <c r="K9" s="173">
        <v>72.80465949820788</v>
      </c>
      <c r="L9" s="173">
        <v>61.230585424133814</v>
      </c>
      <c r="M9" s="173">
        <v>42.43827160493827</v>
      </c>
      <c r="N9" s="173">
        <v>25.761648745519715</v>
      </c>
      <c r="O9" s="173">
        <v>13.503086419753085</v>
      </c>
      <c r="P9" s="174">
        <v>8.960573476702509</v>
      </c>
    </row>
    <row r="10" spans="3:16" ht="15" thickBot="1">
      <c r="C10" s="19" t="s">
        <v>46</v>
      </c>
      <c r="D10" s="20" t="s">
        <v>49</v>
      </c>
      <c r="E10" s="175">
        <v>24.268219832735962</v>
      </c>
      <c r="F10" s="176">
        <v>46.2962962962963</v>
      </c>
      <c r="G10" s="176">
        <v>97.07287933094385</v>
      </c>
      <c r="H10" s="176">
        <v>144.67592592592592</v>
      </c>
      <c r="I10" s="176">
        <v>192.278972520908</v>
      </c>
      <c r="J10" s="176">
        <v>220.29320987654322</v>
      </c>
      <c r="K10" s="176">
        <v>193.0256869772999</v>
      </c>
      <c r="L10" s="176">
        <v>185.1851851851852</v>
      </c>
      <c r="M10" s="176">
        <v>113.81172839506172</v>
      </c>
      <c r="N10" s="176">
        <v>64.59080047789726</v>
      </c>
      <c r="O10" s="176">
        <v>30.09259259259259</v>
      </c>
      <c r="P10" s="177">
        <v>19.04121863799283</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4"/>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50</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-0.40147849462365715</v>
      </c>
      <c r="F5" s="170">
        <v>0.6056547619047599</v>
      </c>
      <c r="G5" s="170">
        <v>3.9998655913978496</v>
      </c>
      <c r="H5" s="170">
        <v>8.40027777777778</v>
      </c>
      <c r="I5" s="170">
        <v>13.5</v>
      </c>
      <c r="J5" s="170">
        <v>16.70013888888889</v>
      </c>
      <c r="K5" s="170">
        <v>17.89932795698926</v>
      </c>
      <c r="L5" s="170">
        <v>17.20134408602153</v>
      </c>
      <c r="M5" s="170">
        <v>13.501388888888894</v>
      </c>
      <c r="N5" s="170">
        <v>9.298790322580643</v>
      </c>
      <c r="O5" s="170">
        <v>4.600277777777782</v>
      </c>
      <c r="P5" s="171">
        <v>1.2</v>
      </c>
    </row>
    <row r="6" spans="3:16" s="13" customFormat="1" ht="14.25">
      <c r="C6" s="14" t="s">
        <v>15</v>
      </c>
      <c r="D6" s="15" t="s">
        <v>49</v>
      </c>
      <c r="E6" s="172">
        <v>16.924656511350076</v>
      </c>
      <c r="F6" s="173">
        <v>34.65319113756615</v>
      </c>
      <c r="G6" s="173">
        <v>63.26388888888889</v>
      </c>
      <c r="H6" s="173">
        <v>89.07638888888886</v>
      </c>
      <c r="I6" s="173">
        <v>122.53210872162485</v>
      </c>
      <c r="J6" s="173">
        <v>124.84413580246908</v>
      </c>
      <c r="K6" s="173">
        <v>123.51105137395461</v>
      </c>
      <c r="L6" s="173">
        <v>108.73618578255675</v>
      </c>
      <c r="M6" s="173">
        <v>79.82291666666667</v>
      </c>
      <c r="N6" s="173">
        <v>47.260304659498175</v>
      </c>
      <c r="O6" s="173">
        <v>19.110725308641975</v>
      </c>
      <c r="P6" s="174">
        <v>11.479988052568702</v>
      </c>
    </row>
    <row r="7" spans="3:16" s="13" customFormat="1" ht="14.25">
      <c r="C7" s="14" t="s">
        <v>16</v>
      </c>
      <c r="D7" s="15" t="s">
        <v>49</v>
      </c>
      <c r="E7" s="172">
        <v>43.30794504181601</v>
      </c>
      <c r="F7" s="173">
        <v>69.99131944444449</v>
      </c>
      <c r="G7" s="173">
        <v>95.88896356033452</v>
      </c>
      <c r="H7" s="173">
        <v>111.69675925925918</v>
      </c>
      <c r="I7" s="173">
        <v>117.59557945041816</v>
      </c>
      <c r="J7" s="173">
        <v>114.51543209876552</v>
      </c>
      <c r="K7" s="173">
        <v>112.45818399044211</v>
      </c>
      <c r="L7" s="173">
        <v>121.31981780167257</v>
      </c>
      <c r="M7" s="173">
        <v>117.48842592592591</v>
      </c>
      <c r="N7" s="173">
        <v>91.76597968936682</v>
      </c>
      <c r="O7" s="173">
        <v>48.82754629629632</v>
      </c>
      <c r="P7" s="174">
        <v>33.45952807646354</v>
      </c>
    </row>
    <row r="8" spans="3:16" s="13" customFormat="1" ht="14.25">
      <c r="C8" s="14" t="s">
        <v>17</v>
      </c>
      <c r="D8" s="15" t="s">
        <v>49</v>
      </c>
      <c r="E8" s="172">
        <v>15.873655913978503</v>
      </c>
      <c r="F8" s="173">
        <v>32.8505291005291</v>
      </c>
      <c r="G8" s="173">
        <v>57.888664874551964</v>
      </c>
      <c r="H8" s="173">
        <v>99.51157407407408</v>
      </c>
      <c r="I8" s="173">
        <v>117.40666069295102</v>
      </c>
      <c r="J8" s="173">
        <v>129.96952160493828</v>
      </c>
      <c r="K8" s="173">
        <v>123.7873357228196</v>
      </c>
      <c r="L8" s="173">
        <v>112.16248506571071</v>
      </c>
      <c r="M8" s="173">
        <v>77.58641975308646</v>
      </c>
      <c r="N8" s="173">
        <v>44.755824372759875</v>
      </c>
      <c r="O8" s="173">
        <v>21.038966049382708</v>
      </c>
      <c r="P8" s="174">
        <v>12.610140382317802</v>
      </c>
    </row>
    <row r="9" spans="3:16" s="13" customFormat="1" ht="14.25">
      <c r="C9" s="14" t="s">
        <v>18</v>
      </c>
      <c r="D9" s="15" t="s">
        <v>49</v>
      </c>
      <c r="E9" s="172">
        <v>9.694593787335723</v>
      </c>
      <c r="F9" s="173">
        <v>17.993138227513217</v>
      </c>
      <c r="G9" s="173">
        <v>32.58624551971326</v>
      </c>
      <c r="H9" s="173">
        <v>47.37037037037036</v>
      </c>
      <c r="I9" s="173">
        <v>71.63493130226998</v>
      </c>
      <c r="J9" s="173">
        <v>81.07908950617286</v>
      </c>
      <c r="K9" s="173">
        <v>73.60476403823172</v>
      </c>
      <c r="L9" s="173">
        <v>57.232302867383545</v>
      </c>
      <c r="M9" s="173">
        <v>38.042052469135804</v>
      </c>
      <c r="N9" s="173">
        <v>23.10446535244925</v>
      </c>
      <c r="O9" s="173">
        <v>11.5625</v>
      </c>
      <c r="P9" s="174">
        <v>7.277479091995219</v>
      </c>
    </row>
    <row r="10" spans="3:16" ht="15" thickBot="1">
      <c r="C10" s="19" t="s">
        <v>46</v>
      </c>
      <c r="D10" s="20" t="s">
        <v>49</v>
      </c>
      <c r="E10" s="175">
        <v>25.016427718040607</v>
      </c>
      <c r="F10" s="176">
        <v>50.04009589947093</v>
      </c>
      <c r="G10" s="176">
        <v>95.00186678614098</v>
      </c>
      <c r="H10" s="176">
        <v>149.02083333333326</v>
      </c>
      <c r="I10" s="176">
        <v>202.025462962963</v>
      </c>
      <c r="J10" s="176">
        <v>218.93595679012353</v>
      </c>
      <c r="K10" s="176">
        <v>209.9772252090802</v>
      </c>
      <c r="L10" s="176">
        <v>179.97685185185188</v>
      </c>
      <c r="M10" s="176">
        <v>122.96412037037044</v>
      </c>
      <c r="N10" s="176">
        <v>68.03091397849467</v>
      </c>
      <c r="O10" s="176">
        <v>30.030092592592577</v>
      </c>
      <c r="P10" s="177">
        <v>18.015979689366795</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6"/>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51</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2.4961021505376344</v>
      </c>
      <c r="F5" s="170">
        <v>3.204315476190478</v>
      </c>
      <c r="G5" s="170">
        <v>5.707123655913981</v>
      </c>
      <c r="H5" s="170">
        <v>8.700833333333335</v>
      </c>
      <c r="I5" s="170">
        <v>12.701344086021512</v>
      </c>
      <c r="J5" s="170">
        <v>15.504027777777782</v>
      </c>
      <c r="K5" s="170">
        <v>17.203629032258057</v>
      </c>
      <c r="L5" s="170">
        <v>17.000134408602168</v>
      </c>
      <c r="M5" s="170">
        <v>14.398194444444442</v>
      </c>
      <c r="N5" s="170">
        <v>10.401209677419356</v>
      </c>
      <c r="O5" s="170">
        <v>6.002777777777778</v>
      </c>
      <c r="P5" s="171">
        <v>3.399596774193549</v>
      </c>
    </row>
    <row r="6" spans="3:16" s="13" customFormat="1" ht="14.25">
      <c r="C6" s="14" t="s">
        <v>15</v>
      </c>
      <c r="D6" s="15" t="s">
        <v>49</v>
      </c>
      <c r="E6" s="172">
        <v>18.688022700119486</v>
      </c>
      <c r="F6" s="173">
        <v>36.65261243386244</v>
      </c>
      <c r="G6" s="173">
        <v>57.37716547192357</v>
      </c>
      <c r="H6" s="173">
        <v>82.33410493827161</v>
      </c>
      <c r="I6" s="173">
        <v>113.87171445639197</v>
      </c>
      <c r="J6" s="173">
        <v>115.55092592592598</v>
      </c>
      <c r="K6" s="173">
        <v>113.16532258064514</v>
      </c>
      <c r="L6" s="173">
        <v>94.34849163679804</v>
      </c>
      <c r="M6" s="173">
        <v>70.89891975308642</v>
      </c>
      <c r="N6" s="173">
        <v>46.91644265232971</v>
      </c>
      <c r="O6" s="173">
        <v>21.6358024691358</v>
      </c>
      <c r="P6" s="174">
        <v>14.706167861409805</v>
      </c>
    </row>
    <row r="7" spans="3:16" s="13" customFormat="1" ht="14.25">
      <c r="C7" s="14" t="s">
        <v>16</v>
      </c>
      <c r="D7" s="15" t="s">
        <v>49</v>
      </c>
      <c r="E7" s="172">
        <v>43.5580943847073</v>
      </c>
      <c r="F7" s="173">
        <v>72.33672288359793</v>
      </c>
      <c r="G7" s="173">
        <v>87.61648745519719</v>
      </c>
      <c r="H7" s="173">
        <v>102.91898148148148</v>
      </c>
      <c r="I7" s="173">
        <v>105.98752986857822</v>
      </c>
      <c r="J7" s="173">
        <v>98.56481481481481</v>
      </c>
      <c r="K7" s="173">
        <v>101.78502090800475</v>
      </c>
      <c r="L7" s="173">
        <v>105.32146057347671</v>
      </c>
      <c r="M7" s="173">
        <v>102.67283950617293</v>
      </c>
      <c r="N7" s="173">
        <v>89.35819892473117</v>
      </c>
      <c r="O7" s="173">
        <v>52.867669753086425</v>
      </c>
      <c r="P7" s="174">
        <v>40.45474910394269</v>
      </c>
    </row>
    <row r="8" spans="3:16" s="13" customFormat="1" ht="14.25">
      <c r="C8" s="14" t="s">
        <v>17</v>
      </c>
      <c r="D8" s="15" t="s">
        <v>49</v>
      </c>
      <c r="E8" s="172">
        <v>17.818473715651137</v>
      </c>
      <c r="F8" s="173">
        <v>34.97271825396826</v>
      </c>
      <c r="G8" s="173">
        <v>57.2703853046595</v>
      </c>
      <c r="H8" s="173">
        <v>84.62191358024691</v>
      </c>
      <c r="I8" s="173">
        <v>110.24417562724014</v>
      </c>
      <c r="J8" s="173">
        <v>107.31983024691364</v>
      </c>
      <c r="K8" s="173">
        <v>107.11282855436076</v>
      </c>
      <c r="L8" s="173">
        <v>101.01030465949806</v>
      </c>
      <c r="M8" s="173">
        <v>68.81751543209876</v>
      </c>
      <c r="N8" s="173">
        <v>45.36364994026285</v>
      </c>
      <c r="O8" s="173">
        <v>21.19405864197531</v>
      </c>
      <c r="P8" s="174">
        <v>13.377762843488657</v>
      </c>
    </row>
    <row r="9" spans="3:16" s="13" customFormat="1" ht="14.25">
      <c r="C9" s="14" t="s">
        <v>18</v>
      </c>
      <c r="D9" s="15" t="s">
        <v>49</v>
      </c>
      <c r="E9" s="172">
        <v>10.597744922341697</v>
      </c>
      <c r="F9" s="173">
        <v>19.65319113756614</v>
      </c>
      <c r="G9" s="173">
        <v>30.959154719235357</v>
      </c>
      <c r="H9" s="173">
        <v>47.60223765432099</v>
      </c>
      <c r="I9" s="173">
        <v>66.90748207885305</v>
      </c>
      <c r="J9" s="173">
        <v>70.23765432098759</v>
      </c>
      <c r="K9" s="173">
        <v>70.63620071684586</v>
      </c>
      <c r="L9" s="173">
        <v>57.44511648745515</v>
      </c>
      <c r="M9" s="173">
        <v>38.412037037037045</v>
      </c>
      <c r="N9" s="173">
        <v>24.04980585424134</v>
      </c>
      <c r="O9" s="173">
        <v>12.89814814814814</v>
      </c>
      <c r="P9" s="174">
        <v>8.048835125448027</v>
      </c>
    </row>
    <row r="10" spans="3:16" ht="15" thickBot="1">
      <c r="C10" s="19" t="s">
        <v>46</v>
      </c>
      <c r="D10" s="20" t="s">
        <v>49</v>
      </c>
      <c r="E10" s="175">
        <v>26.99970131421744</v>
      </c>
      <c r="F10" s="176">
        <v>54.99917328042326</v>
      </c>
      <c r="G10" s="176">
        <v>89.00164277180407</v>
      </c>
      <c r="H10" s="176">
        <v>142.00038580246914</v>
      </c>
      <c r="I10" s="176">
        <v>188.00141875746712</v>
      </c>
      <c r="J10" s="176">
        <v>196.0030864197531</v>
      </c>
      <c r="K10" s="176">
        <v>191.00059737156514</v>
      </c>
      <c r="L10" s="176">
        <v>165.99462365591398</v>
      </c>
      <c r="M10" s="176">
        <v>117</v>
      </c>
      <c r="N10" s="176">
        <v>71.99634109916369</v>
      </c>
      <c r="O10" s="176">
        <v>33.99768518518518</v>
      </c>
      <c r="P10" s="177">
        <v>21.00022401433691</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3"/>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52</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4.225537634408602</v>
      </c>
      <c r="F5" s="170">
        <v>4.6011904761904745</v>
      </c>
      <c r="G5" s="170">
        <v>6.834274193548382</v>
      </c>
      <c r="H5" s="170">
        <v>9.689166666666663</v>
      </c>
      <c r="I5" s="170">
        <v>13.271908602150532</v>
      </c>
      <c r="J5" s="170">
        <v>16.2675</v>
      </c>
      <c r="K5" s="170">
        <v>18.57338709677421</v>
      </c>
      <c r="L5" s="170">
        <v>18.51814516129034</v>
      </c>
      <c r="M5" s="170">
        <v>15.778611111111099</v>
      </c>
      <c r="N5" s="170">
        <v>11.747311827957002</v>
      </c>
      <c r="O5" s="170">
        <v>7.230277777777769</v>
      </c>
      <c r="P5" s="171">
        <v>4.93669354838709</v>
      </c>
    </row>
    <row r="6" spans="3:16" s="13" customFormat="1" ht="14.25">
      <c r="C6" s="14" t="s">
        <v>15</v>
      </c>
      <c r="D6" s="15" t="s">
        <v>49</v>
      </c>
      <c r="E6" s="172">
        <v>22.21923536439665</v>
      </c>
      <c r="F6" s="173">
        <v>42.83399470899468</v>
      </c>
      <c r="G6" s="173">
        <v>61.448252688172076</v>
      </c>
      <c r="H6" s="173">
        <v>101.573688271605</v>
      </c>
      <c r="I6" s="173">
        <v>100.4767771804062</v>
      </c>
      <c r="J6" s="173">
        <v>122.40393518518515</v>
      </c>
      <c r="K6" s="173">
        <v>123.5259856630825</v>
      </c>
      <c r="L6" s="173">
        <v>113.37365591397851</v>
      </c>
      <c r="M6" s="173">
        <v>82.35648148148144</v>
      </c>
      <c r="N6" s="173">
        <v>50.93862007168461</v>
      </c>
      <c r="O6" s="173">
        <v>30.445987654321012</v>
      </c>
      <c r="P6" s="174">
        <v>18.827284946236563</v>
      </c>
    </row>
    <row r="7" spans="3:16" s="13" customFormat="1" ht="14.25">
      <c r="C7" s="14" t="s">
        <v>16</v>
      </c>
      <c r="D7" s="15" t="s">
        <v>49</v>
      </c>
      <c r="E7" s="172">
        <v>52.69638590203103</v>
      </c>
      <c r="F7" s="173">
        <v>80.57291666666666</v>
      </c>
      <c r="G7" s="173">
        <v>98.48827658303459</v>
      </c>
      <c r="H7" s="173">
        <v>115.20061728395062</v>
      </c>
      <c r="I7" s="173">
        <v>101.99559438470729</v>
      </c>
      <c r="J7" s="173">
        <v>102.9305555555555</v>
      </c>
      <c r="K7" s="173">
        <v>112.42383512544794</v>
      </c>
      <c r="L7" s="173">
        <v>117.64822281959383</v>
      </c>
      <c r="M7" s="173">
        <v>122.8726851851851</v>
      </c>
      <c r="N7" s="173">
        <v>99.93279569892475</v>
      </c>
      <c r="O7" s="173">
        <v>75.2391975308642</v>
      </c>
      <c r="P7" s="174">
        <v>47.125522700119454</v>
      </c>
    </row>
    <row r="8" spans="3:16" s="13" customFormat="1" ht="14.25">
      <c r="C8" s="14" t="s">
        <v>17</v>
      </c>
      <c r="D8" s="15" t="s">
        <v>49</v>
      </c>
      <c r="E8" s="172">
        <v>21.216771206690556</v>
      </c>
      <c r="F8" s="173">
        <v>38.71279761904762</v>
      </c>
      <c r="G8" s="173">
        <v>62.669504181600914</v>
      </c>
      <c r="H8" s="173">
        <v>94.1033950617284</v>
      </c>
      <c r="I8" s="173">
        <v>111.1129778972519</v>
      </c>
      <c r="J8" s="173">
        <v>120.38734567901227</v>
      </c>
      <c r="K8" s="173">
        <v>127.82594086021503</v>
      </c>
      <c r="L8" s="173">
        <v>112.57616487455182</v>
      </c>
      <c r="M8" s="173">
        <v>85.37731481481487</v>
      </c>
      <c r="N8" s="173">
        <v>51.23170549581841</v>
      </c>
      <c r="O8" s="173">
        <v>30.88966049382716</v>
      </c>
      <c r="P8" s="174">
        <v>17.278972520908006</v>
      </c>
    </row>
    <row r="9" spans="3:16" s="13" customFormat="1" ht="14.25">
      <c r="C9" s="14" t="s">
        <v>18</v>
      </c>
      <c r="D9" s="15" t="s">
        <v>49</v>
      </c>
      <c r="E9" s="172">
        <v>12.227449223416967</v>
      </c>
      <c r="F9" s="173">
        <v>22.51901455026455</v>
      </c>
      <c r="G9" s="173">
        <v>32.670250896057375</v>
      </c>
      <c r="H9" s="173">
        <v>47.00925925925922</v>
      </c>
      <c r="I9" s="173">
        <v>63.59617682198325</v>
      </c>
      <c r="J9" s="173">
        <v>76.1404320987654</v>
      </c>
      <c r="K9" s="173">
        <v>73.1485215053764</v>
      </c>
      <c r="L9" s="173">
        <v>58.69436977299876</v>
      </c>
      <c r="M9" s="173">
        <v>38.38387345679011</v>
      </c>
      <c r="N9" s="173">
        <v>26.098790322580644</v>
      </c>
      <c r="O9" s="173">
        <v>15.552083333333336</v>
      </c>
      <c r="P9" s="174">
        <v>10.10827359617682</v>
      </c>
    </row>
    <row r="10" spans="3:16" ht="15" thickBot="1">
      <c r="C10" s="19" t="s">
        <v>46</v>
      </c>
      <c r="D10" s="20" t="s">
        <v>49</v>
      </c>
      <c r="E10" s="175">
        <v>32.67771804062128</v>
      </c>
      <c r="F10" s="176">
        <v>63.869047619047656</v>
      </c>
      <c r="G10" s="176">
        <v>101.81563620071691</v>
      </c>
      <c r="H10" s="176">
        <v>158.31057098765407</v>
      </c>
      <c r="I10" s="176">
        <v>188.18175029868578</v>
      </c>
      <c r="J10" s="176">
        <v>212.43634259259235</v>
      </c>
      <c r="K10" s="176">
        <v>219.43809737156505</v>
      </c>
      <c r="L10" s="176">
        <v>187.2207287933092</v>
      </c>
      <c r="M10" s="176">
        <v>133.4749228395061</v>
      </c>
      <c r="N10" s="176">
        <v>79.86745818399041</v>
      </c>
      <c r="O10" s="176">
        <v>44.95756172839506</v>
      </c>
      <c r="P10" s="177">
        <v>26.288455794504184</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19"/>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53</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1.8755376344086059</v>
      </c>
      <c r="F5" s="170">
        <v>0.9936011904761873</v>
      </c>
      <c r="G5" s="170">
        <v>1.908736559139786</v>
      </c>
      <c r="H5" s="170">
        <v>4.872916666666663</v>
      </c>
      <c r="I5" s="170">
        <v>9.885887096774196</v>
      </c>
      <c r="J5" s="170">
        <v>13.429444444444446</v>
      </c>
      <c r="K5" s="170">
        <v>15.080510752688165</v>
      </c>
      <c r="L5" s="170">
        <v>15.621639784946229</v>
      </c>
      <c r="M5" s="170">
        <v>13.8075</v>
      </c>
      <c r="N5" s="170">
        <v>10.746639784946238</v>
      </c>
      <c r="O5" s="170">
        <v>6.628194444444436</v>
      </c>
      <c r="P5" s="171">
        <v>3.66666666666666</v>
      </c>
    </row>
    <row r="6" spans="3:16" s="13" customFormat="1" ht="14.25">
      <c r="C6" s="14" t="s">
        <v>15</v>
      </c>
      <c r="D6" s="15" t="s">
        <v>49</v>
      </c>
      <c r="E6" s="172">
        <v>14.005749701314217</v>
      </c>
      <c r="F6" s="173">
        <v>34.37582671957672</v>
      </c>
      <c r="G6" s="173">
        <v>53.975507765830365</v>
      </c>
      <c r="H6" s="173">
        <v>105.20177469135803</v>
      </c>
      <c r="I6" s="173">
        <v>131.69205495818397</v>
      </c>
      <c r="J6" s="173">
        <v>126.0555555555555</v>
      </c>
      <c r="K6" s="173">
        <v>129.7020609318997</v>
      </c>
      <c r="L6" s="173">
        <v>114.45564516129039</v>
      </c>
      <c r="M6" s="173">
        <v>74.6141975308642</v>
      </c>
      <c r="N6" s="173">
        <v>40.176971326164875</v>
      </c>
      <c r="O6" s="173">
        <v>19.49691358024691</v>
      </c>
      <c r="P6" s="174">
        <v>12.232302867383517</v>
      </c>
    </row>
    <row r="7" spans="3:16" s="13" customFormat="1" ht="14.25">
      <c r="C7" s="14" t="s">
        <v>16</v>
      </c>
      <c r="D7" s="15" t="s">
        <v>49</v>
      </c>
      <c r="E7" s="172">
        <v>45.2766577060932</v>
      </c>
      <c r="F7" s="173">
        <v>83.29943783068785</v>
      </c>
      <c r="G7" s="173">
        <v>98.50209080047793</v>
      </c>
      <c r="H7" s="173">
        <v>135.52469135802468</v>
      </c>
      <c r="I7" s="173">
        <v>129.21669653524506</v>
      </c>
      <c r="J7" s="173">
        <v>120.57561728395054</v>
      </c>
      <c r="K7" s="173">
        <v>131.19250298685787</v>
      </c>
      <c r="L7" s="173">
        <v>127.28905316606948</v>
      </c>
      <c r="M7" s="173">
        <v>114.3765432098765</v>
      </c>
      <c r="N7" s="173">
        <v>84.88537933094388</v>
      </c>
      <c r="O7" s="173">
        <v>55.170138888888864</v>
      </c>
      <c r="P7" s="174">
        <v>41.835424133811244</v>
      </c>
    </row>
    <row r="8" spans="3:16" s="13" customFormat="1" ht="14.25">
      <c r="C8" s="14" t="s">
        <v>17</v>
      </c>
      <c r="D8" s="15" t="s">
        <v>49</v>
      </c>
      <c r="E8" s="172">
        <v>15.298312425328556</v>
      </c>
      <c r="F8" s="173">
        <v>34.608961640211625</v>
      </c>
      <c r="G8" s="173">
        <v>57.77404420549583</v>
      </c>
      <c r="H8" s="173">
        <v>110.66087962962963</v>
      </c>
      <c r="I8" s="173">
        <v>129.2424581839906</v>
      </c>
      <c r="J8" s="173">
        <v>120.24035493827157</v>
      </c>
      <c r="K8" s="173">
        <v>134.45527180406214</v>
      </c>
      <c r="L8" s="173">
        <v>114.74238351254475</v>
      </c>
      <c r="M8" s="173">
        <v>71.4471450617283</v>
      </c>
      <c r="N8" s="173">
        <v>42.98387096774193</v>
      </c>
      <c r="O8" s="173">
        <v>19.65123456790124</v>
      </c>
      <c r="P8" s="174">
        <v>11.064068100358426</v>
      </c>
    </row>
    <row r="9" spans="3:16" s="13" customFormat="1" ht="14.25">
      <c r="C9" s="14" t="s">
        <v>18</v>
      </c>
      <c r="D9" s="15" t="s">
        <v>49</v>
      </c>
      <c r="E9" s="172">
        <v>8.170549581839907</v>
      </c>
      <c r="F9" s="173">
        <v>15.819279100529101</v>
      </c>
      <c r="G9" s="173">
        <v>27.841248506571105</v>
      </c>
      <c r="H9" s="173">
        <v>47.77777777777778</v>
      </c>
      <c r="I9" s="173">
        <v>71.68085424133812</v>
      </c>
      <c r="J9" s="173">
        <v>76.72569444444443</v>
      </c>
      <c r="K9" s="173">
        <v>77.70758661887693</v>
      </c>
      <c r="L9" s="173">
        <v>56.05958781362008</v>
      </c>
      <c r="M9" s="173">
        <v>34.744984567901206</v>
      </c>
      <c r="N9" s="173">
        <v>20.336394862604543</v>
      </c>
      <c r="O9" s="173">
        <v>10.150848765432098</v>
      </c>
      <c r="P9" s="174">
        <v>5.779943249701314</v>
      </c>
    </row>
    <row r="10" spans="3:16" ht="15" thickBot="1">
      <c r="C10" s="19" t="s">
        <v>46</v>
      </c>
      <c r="D10" s="20" t="s">
        <v>49</v>
      </c>
      <c r="E10" s="175">
        <v>21.62970430107527</v>
      </c>
      <c r="F10" s="176">
        <v>47.139550264550266</v>
      </c>
      <c r="G10" s="176">
        <v>84.02889784946237</v>
      </c>
      <c r="H10" s="176">
        <v>159.99112654320993</v>
      </c>
      <c r="I10" s="176">
        <v>209.64717741935485</v>
      </c>
      <c r="J10" s="176">
        <v>214.23225308641946</v>
      </c>
      <c r="K10" s="176">
        <v>222.34543010752716</v>
      </c>
      <c r="L10" s="176">
        <v>176.87873357228187</v>
      </c>
      <c r="M10" s="176">
        <v>111.00887345679013</v>
      </c>
      <c r="N10" s="176">
        <v>59.7614247311828</v>
      </c>
      <c r="O10" s="176">
        <v>27.37114197530864</v>
      </c>
      <c r="P10" s="177">
        <v>14.873431899641579</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codeName="Sheet23"/>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54</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-1.126747311827957</v>
      </c>
      <c r="F5" s="170">
        <v>0.25163690476190614</v>
      </c>
      <c r="G5" s="170">
        <v>3.9383064516129043</v>
      </c>
      <c r="H5" s="170">
        <v>8.452083333333325</v>
      </c>
      <c r="I5" s="170">
        <v>13.313440860215065</v>
      </c>
      <c r="J5" s="170">
        <v>16.43555555555556</v>
      </c>
      <c r="K5" s="170">
        <v>17.94569892473119</v>
      </c>
      <c r="L5" s="170">
        <v>17.444489247311804</v>
      </c>
      <c r="M5" s="170">
        <v>14.072777777777771</v>
      </c>
      <c r="N5" s="170">
        <v>9.185887096774184</v>
      </c>
      <c r="O5" s="170">
        <v>3.899583333333329</v>
      </c>
      <c r="P5" s="171">
        <v>0.6651881720430112</v>
      </c>
    </row>
    <row r="6" spans="3:16" s="13" customFormat="1" ht="14.25">
      <c r="C6" s="14" t="s">
        <v>15</v>
      </c>
      <c r="D6" s="15" t="s">
        <v>49</v>
      </c>
      <c r="E6" s="172">
        <v>18.4378733572282</v>
      </c>
      <c r="F6" s="173">
        <v>35.94039351851854</v>
      </c>
      <c r="G6" s="173">
        <v>57.63104838709679</v>
      </c>
      <c r="H6" s="173">
        <v>99.29938271604941</v>
      </c>
      <c r="I6" s="173">
        <v>115.11947431302274</v>
      </c>
      <c r="J6" s="173">
        <v>120.48109567901231</v>
      </c>
      <c r="K6" s="173">
        <v>111.16114097968932</v>
      </c>
      <c r="L6" s="173">
        <v>109.04121863799278</v>
      </c>
      <c r="M6" s="173">
        <v>77.22376543209879</v>
      </c>
      <c r="N6" s="173">
        <v>47.7482825567503</v>
      </c>
      <c r="O6" s="173">
        <v>22.298996913580268</v>
      </c>
      <c r="P6" s="174">
        <v>12.32750896057348</v>
      </c>
    </row>
    <row r="7" spans="3:16" s="13" customFormat="1" ht="14.25">
      <c r="C7" s="14" t="s">
        <v>16</v>
      </c>
      <c r="D7" s="15" t="s">
        <v>49</v>
      </c>
      <c r="E7" s="172">
        <v>42.317054958184</v>
      </c>
      <c r="F7" s="173">
        <v>72.70378637566137</v>
      </c>
      <c r="G7" s="173">
        <v>92.12066905615299</v>
      </c>
      <c r="H7" s="173">
        <v>111.75925925925925</v>
      </c>
      <c r="I7" s="173">
        <v>109.41345579450419</v>
      </c>
      <c r="J7" s="173">
        <v>99.96682098765442</v>
      </c>
      <c r="K7" s="173">
        <v>100.51859318996422</v>
      </c>
      <c r="L7" s="173">
        <v>120.90987156511352</v>
      </c>
      <c r="M7" s="173">
        <v>105.48070987654323</v>
      </c>
      <c r="N7" s="173">
        <v>91.67637395459975</v>
      </c>
      <c r="O7" s="173">
        <v>49.28395061728396</v>
      </c>
      <c r="P7" s="174">
        <v>32.70235961768222</v>
      </c>
    </row>
    <row r="8" spans="3:16" s="13" customFormat="1" ht="14.25">
      <c r="C8" s="14" t="s">
        <v>17</v>
      </c>
      <c r="D8" s="15" t="s">
        <v>49</v>
      </c>
      <c r="E8" s="172">
        <v>16.938097371565114</v>
      </c>
      <c r="F8" s="173">
        <v>36.073082010582006</v>
      </c>
      <c r="G8" s="173">
        <v>62.17816606929513</v>
      </c>
      <c r="H8" s="173">
        <v>98.79243827160494</v>
      </c>
      <c r="I8" s="173">
        <v>121.93996415770609</v>
      </c>
      <c r="J8" s="173">
        <v>114.25231481481478</v>
      </c>
      <c r="K8" s="173">
        <v>108.57414874551972</v>
      </c>
      <c r="L8" s="173">
        <v>111.73424432497012</v>
      </c>
      <c r="M8" s="173">
        <v>75.00540123456787</v>
      </c>
      <c r="N8" s="173">
        <v>49.46535244922342</v>
      </c>
      <c r="O8" s="173">
        <v>23.97222222222222</v>
      </c>
      <c r="P8" s="174">
        <v>13.439740143369182</v>
      </c>
    </row>
    <row r="9" spans="3:16" s="13" customFormat="1" ht="14.25">
      <c r="C9" s="14" t="s">
        <v>18</v>
      </c>
      <c r="D9" s="15" t="s">
        <v>49</v>
      </c>
      <c r="E9" s="172">
        <v>11.1398596176822</v>
      </c>
      <c r="F9" s="173">
        <v>19.98759920634921</v>
      </c>
      <c r="G9" s="173">
        <v>33.51142473118281</v>
      </c>
      <c r="H9" s="173">
        <v>50.02276234567903</v>
      </c>
      <c r="I9" s="173">
        <v>68.91689068100358</v>
      </c>
      <c r="J9" s="173">
        <v>74.8248456790123</v>
      </c>
      <c r="K9" s="173">
        <v>69.91748805256876</v>
      </c>
      <c r="L9" s="173">
        <v>56.94220430107527</v>
      </c>
      <c r="M9" s="173">
        <v>39.69714506172839</v>
      </c>
      <c r="N9" s="173">
        <v>25.673909796893668</v>
      </c>
      <c r="O9" s="173">
        <v>13.80516975308642</v>
      </c>
      <c r="P9" s="174">
        <v>8.12612007168459</v>
      </c>
    </row>
    <row r="10" spans="3:16" ht="15" thickBot="1">
      <c r="C10" s="19" t="s">
        <v>46</v>
      </c>
      <c r="D10" s="20" t="s">
        <v>49</v>
      </c>
      <c r="E10" s="175">
        <v>28.27956989247314</v>
      </c>
      <c r="F10" s="176">
        <v>55.551008597883545</v>
      </c>
      <c r="G10" s="176">
        <v>96.43742532855434</v>
      </c>
      <c r="H10" s="176">
        <v>158.03935185185182</v>
      </c>
      <c r="I10" s="176">
        <v>199.80062724014337</v>
      </c>
      <c r="J10" s="176">
        <v>202.6682098765433</v>
      </c>
      <c r="K10" s="176">
        <v>193.65815412186362</v>
      </c>
      <c r="L10" s="176">
        <v>182.95325567502977</v>
      </c>
      <c r="M10" s="176">
        <v>121.07831790123456</v>
      </c>
      <c r="N10" s="176">
        <v>76.32243130227006</v>
      </c>
      <c r="O10" s="176">
        <v>35.20023148148147</v>
      </c>
      <c r="P10" s="177">
        <v>20.303912783751507</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codeName="Sheet17"/>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55</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5.060349462365588</v>
      </c>
      <c r="F5" s="170">
        <v>6.557440476190474</v>
      </c>
      <c r="G5" s="170">
        <v>8.857661290322586</v>
      </c>
      <c r="H5" s="170">
        <v>11.15361111111112</v>
      </c>
      <c r="I5" s="170">
        <v>15.047043010752702</v>
      </c>
      <c r="J5" s="170">
        <v>19.93694444444442</v>
      </c>
      <c r="K5" s="170">
        <v>23.835080645161323</v>
      </c>
      <c r="L5" s="170">
        <v>23.326075268817192</v>
      </c>
      <c r="M5" s="170">
        <v>19.843472222222232</v>
      </c>
      <c r="N5" s="170">
        <v>14.050537634408608</v>
      </c>
      <c r="O5" s="170">
        <v>8.45791666666667</v>
      </c>
      <c r="P5" s="171">
        <v>5.457123655913976</v>
      </c>
    </row>
    <row r="6" spans="3:16" s="13" customFormat="1" ht="14.25">
      <c r="C6" s="14" t="s">
        <v>15</v>
      </c>
      <c r="D6" s="15" t="s">
        <v>49</v>
      </c>
      <c r="E6" s="172">
        <v>61.10700418160093</v>
      </c>
      <c r="F6" s="173">
        <v>72.84680886243386</v>
      </c>
      <c r="G6" s="173">
        <v>119.98170549581829</v>
      </c>
      <c r="H6" s="173">
        <v>126.65432098765432</v>
      </c>
      <c r="I6" s="173">
        <v>157.59669952210265</v>
      </c>
      <c r="J6" s="173">
        <v>165.03510802469137</v>
      </c>
      <c r="K6" s="173">
        <v>175.53128733572285</v>
      </c>
      <c r="L6" s="173">
        <v>154.51612903225802</v>
      </c>
      <c r="M6" s="173">
        <v>136.04475308641977</v>
      </c>
      <c r="N6" s="173">
        <v>89.5859468339307</v>
      </c>
      <c r="O6" s="173">
        <v>58.3645833333334</v>
      </c>
      <c r="P6" s="174">
        <v>40.67092293906811</v>
      </c>
    </row>
    <row r="7" spans="3:16" s="13" customFormat="1" ht="14.25">
      <c r="C7" s="14" t="s">
        <v>16</v>
      </c>
      <c r="D7" s="15" t="s">
        <v>49</v>
      </c>
      <c r="E7" s="172">
        <v>149.96117084826764</v>
      </c>
      <c r="F7" s="173">
        <v>141.33101851851848</v>
      </c>
      <c r="G7" s="173">
        <v>176.70101553166063</v>
      </c>
      <c r="H7" s="173">
        <v>126.70524691358025</v>
      </c>
      <c r="I7" s="173">
        <v>120.81578554360807</v>
      </c>
      <c r="J7" s="173">
        <v>112.72839506172843</v>
      </c>
      <c r="K7" s="173">
        <v>117.57317801672647</v>
      </c>
      <c r="L7" s="173">
        <v>143.68615591397855</v>
      </c>
      <c r="M7" s="173">
        <v>168.1998456790124</v>
      </c>
      <c r="N7" s="173">
        <v>159.85551075268816</v>
      </c>
      <c r="O7" s="173">
        <v>134.7079475308642</v>
      </c>
      <c r="P7" s="174">
        <v>106.77979390680997</v>
      </c>
    </row>
    <row r="8" spans="3:16" s="13" customFormat="1" ht="14.25">
      <c r="C8" s="14" t="s">
        <v>17</v>
      </c>
      <c r="D8" s="15" t="s">
        <v>49</v>
      </c>
      <c r="E8" s="172">
        <v>59.17861409796893</v>
      </c>
      <c r="F8" s="173">
        <v>74.30638227513231</v>
      </c>
      <c r="G8" s="173">
        <v>112.92040023894866</v>
      </c>
      <c r="H8" s="173">
        <v>124.29668209876525</v>
      </c>
      <c r="I8" s="173">
        <v>153.70407706093198</v>
      </c>
      <c r="J8" s="173">
        <v>168.27160493827162</v>
      </c>
      <c r="K8" s="173">
        <v>165.58467741935482</v>
      </c>
      <c r="L8" s="173">
        <v>160.63470728793303</v>
      </c>
      <c r="M8" s="173">
        <v>127.05941358024697</v>
      </c>
      <c r="N8" s="173">
        <v>89.93914277180403</v>
      </c>
      <c r="O8" s="173">
        <v>60.241512345679006</v>
      </c>
      <c r="P8" s="174">
        <v>42.25694444444442</v>
      </c>
    </row>
    <row r="9" spans="3:16" s="13" customFormat="1" ht="14.25">
      <c r="C9" s="14" t="s">
        <v>18</v>
      </c>
      <c r="D9" s="15" t="s">
        <v>49</v>
      </c>
      <c r="E9" s="172">
        <v>24.48439366786144</v>
      </c>
      <c r="F9" s="173">
        <v>34.06828703703702</v>
      </c>
      <c r="G9" s="173">
        <v>43.219086021505404</v>
      </c>
      <c r="H9" s="173">
        <v>58.47916666666666</v>
      </c>
      <c r="I9" s="173">
        <v>74.39852150537634</v>
      </c>
      <c r="J9" s="173">
        <v>85</v>
      </c>
      <c r="K9" s="173">
        <v>80.42450716845876</v>
      </c>
      <c r="L9" s="173">
        <v>64.48178016726405</v>
      </c>
      <c r="M9" s="173">
        <v>47.6346450617284</v>
      </c>
      <c r="N9" s="173">
        <v>35.99835722819593</v>
      </c>
      <c r="O9" s="173">
        <v>25.858024691358036</v>
      </c>
      <c r="P9" s="174">
        <v>21.107004181600956</v>
      </c>
    </row>
    <row r="10" spans="3:16" ht="15" thickBot="1">
      <c r="C10" s="19" t="s">
        <v>46</v>
      </c>
      <c r="D10" s="20" t="s">
        <v>49</v>
      </c>
      <c r="E10" s="175">
        <v>88.95422640382318</v>
      </c>
      <c r="F10" s="176">
        <v>115.07357804232795</v>
      </c>
      <c r="G10" s="176">
        <v>189.87529868578258</v>
      </c>
      <c r="H10" s="176">
        <v>212.09992283950618</v>
      </c>
      <c r="I10" s="176">
        <v>273.8496863799285</v>
      </c>
      <c r="J10" s="176">
        <v>309.8097993827164</v>
      </c>
      <c r="K10" s="176">
        <v>308.8601403823178</v>
      </c>
      <c r="L10" s="176">
        <v>269.89023297491025</v>
      </c>
      <c r="M10" s="176">
        <v>209.0177469135802</v>
      </c>
      <c r="N10" s="176">
        <v>141.06630824372778</v>
      </c>
      <c r="O10" s="176">
        <v>89.08873456790126</v>
      </c>
      <c r="P10" s="177">
        <v>66.01889187574672</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21"/>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56</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-3.300134408602147</v>
      </c>
      <c r="F5" s="170">
        <v>-2.098363095238099</v>
      </c>
      <c r="G5" s="170">
        <v>1.9034946236559132</v>
      </c>
      <c r="H5" s="170">
        <v>7.697638888888886</v>
      </c>
      <c r="I5" s="170">
        <v>13.501344086021508</v>
      </c>
      <c r="J5" s="170">
        <v>16.696805555555567</v>
      </c>
      <c r="K5" s="170">
        <v>18.002284946236557</v>
      </c>
      <c r="L5" s="170">
        <v>17.299865591397875</v>
      </c>
      <c r="M5" s="170">
        <v>13.10319444444443</v>
      </c>
      <c r="N5" s="170">
        <v>8.201209677419351</v>
      </c>
      <c r="O5" s="170">
        <v>3.199027777777776</v>
      </c>
      <c r="P5" s="171">
        <v>-0.9013440860215043</v>
      </c>
    </row>
    <row r="6" spans="3:16" s="13" customFormat="1" ht="14.25">
      <c r="C6" s="14" t="s">
        <v>15</v>
      </c>
      <c r="D6" s="15" t="s">
        <v>49</v>
      </c>
      <c r="E6" s="172">
        <v>16.375821385902025</v>
      </c>
      <c r="F6" s="173">
        <v>33.39905753968254</v>
      </c>
      <c r="G6" s="173">
        <v>61.614396654719215</v>
      </c>
      <c r="H6" s="173">
        <v>89.94791666666667</v>
      </c>
      <c r="I6" s="173">
        <v>120.1556899641577</v>
      </c>
      <c r="J6" s="173">
        <v>118.55246913580247</v>
      </c>
      <c r="K6" s="173">
        <v>122.61574074074075</v>
      </c>
      <c r="L6" s="173">
        <v>111.06108124253286</v>
      </c>
      <c r="M6" s="173">
        <v>67.5636574074074</v>
      </c>
      <c r="N6" s="173">
        <v>44.3820937873357</v>
      </c>
      <c r="O6" s="173">
        <v>22.14699074074074</v>
      </c>
      <c r="P6" s="174">
        <v>10.829599761051377</v>
      </c>
    </row>
    <row r="7" spans="3:16" s="13" customFormat="1" ht="14.25">
      <c r="C7" s="14" t="s">
        <v>16</v>
      </c>
      <c r="D7" s="15" t="s">
        <v>49</v>
      </c>
      <c r="E7" s="172">
        <v>39.69534050179212</v>
      </c>
      <c r="F7" s="173">
        <v>78.4672619047619</v>
      </c>
      <c r="G7" s="173">
        <v>97.91816009557941</v>
      </c>
      <c r="H7" s="173">
        <v>110.1099537037037</v>
      </c>
      <c r="I7" s="173">
        <v>125.2654569892475</v>
      </c>
      <c r="J7" s="173">
        <v>108.60918209876543</v>
      </c>
      <c r="K7" s="173">
        <v>115.44018817204301</v>
      </c>
      <c r="L7" s="173">
        <v>118.25044802867392</v>
      </c>
      <c r="M7" s="173">
        <v>101.34297839506173</v>
      </c>
      <c r="N7" s="173">
        <v>92.202807646356</v>
      </c>
      <c r="O7" s="173">
        <v>54.502700617283956</v>
      </c>
      <c r="P7" s="174">
        <v>32.85431600955795</v>
      </c>
    </row>
    <row r="8" spans="3:16" s="13" customFormat="1" ht="14.25">
      <c r="C8" s="14" t="s">
        <v>17</v>
      </c>
      <c r="D8" s="15" t="s">
        <v>49</v>
      </c>
      <c r="E8" s="172">
        <v>0</v>
      </c>
      <c r="F8" s="173">
        <v>0</v>
      </c>
      <c r="G8" s="173">
        <v>0</v>
      </c>
      <c r="H8" s="173">
        <v>0</v>
      </c>
      <c r="I8" s="173">
        <v>0</v>
      </c>
      <c r="J8" s="173">
        <v>0</v>
      </c>
      <c r="K8" s="173">
        <v>0</v>
      </c>
      <c r="L8" s="173">
        <v>0</v>
      </c>
      <c r="M8" s="173">
        <v>0</v>
      </c>
      <c r="N8" s="173">
        <v>0</v>
      </c>
      <c r="O8" s="173">
        <v>0</v>
      </c>
      <c r="P8" s="174">
        <v>0</v>
      </c>
    </row>
    <row r="9" spans="3:16" s="13" customFormat="1" ht="14.25">
      <c r="C9" s="14" t="s">
        <v>18</v>
      </c>
      <c r="D9" s="15" t="s">
        <v>49</v>
      </c>
      <c r="E9" s="172">
        <v>9.684139784946238</v>
      </c>
      <c r="F9" s="173">
        <v>17.97164351851852</v>
      </c>
      <c r="G9" s="173">
        <v>31.296669653524493</v>
      </c>
      <c r="H9" s="173">
        <v>48.06057098765434</v>
      </c>
      <c r="I9" s="173">
        <v>70.59102449223414</v>
      </c>
      <c r="J9" s="173">
        <v>73.67592592592591</v>
      </c>
      <c r="K9" s="173">
        <v>75.96587514934286</v>
      </c>
      <c r="L9" s="173">
        <v>57.4936529271207</v>
      </c>
      <c r="M9" s="173">
        <v>36.86458333333333</v>
      </c>
      <c r="N9" s="173">
        <v>23.457287933094392</v>
      </c>
      <c r="O9" s="173">
        <v>11.774305555555552</v>
      </c>
      <c r="P9" s="174">
        <v>6.76859318996416</v>
      </c>
    </row>
    <row r="10" spans="3:16" ht="15" thickBot="1">
      <c r="C10" s="19" t="s">
        <v>46</v>
      </c>
      <c r="D10" s="20" t="s">
        <v>49</v>
      </c>
      <c r="E10" s="175">
        <v>23.998655913978503</v>
      </c>
      <c r="F10" s="176">
        <v>52.00024801587304</v>
      </c>
      <c r="G10" s="176">
        <v>93.00403225806454</v>
      </c>
      <c r="H10" s="176">
        <v>147.99691358024697</v>
      </c>
      <c r="I10" s="176">
        <v>210.9968637992831</v>
      </c>
      <c r="J10" s="176">
        <v>206.00115740740742</v>
      </c>
      <c r="K10" s="176">
        <v>212.99880525686996</v>
      </c>
      <c r="L10" s="176">
        <v>179.0005227001195</v>
      </c>
      <c r="M10" s="176">
        <v>111.99614197530867</v>
      </c>
      <c r="N10" s="176">
        <v>69.99626642771811</v>
      </c>
      <c r="O10" s="176">
        <v>32.001543209876544</v>
      </c>
      <c r="P10" s="177">
        <v>16.998954599761053</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20"/>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57</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-4.169220430107528</v>
      </c>
      <c r="F5" s="170">
        <v>-5.179315476190483</v>
      </c>
      <c r="G5" s="170">
        <v>-2.650134408602152</v>
      </c>
      <c r="H5" s="170">
        <v>2.2547222222222234</v>
      </c>
      <c r="I5" s="170">
        <v>8.666397849462369</v>
      </c>
      <c r="J5" s="170">
        <v>12.562083333333332</v>
      </c>
      <c r="K5" s="170">
        <v>15.135752688172031</v>
      </c>
      <c r="L5" s="170">
        <v>14.268548387096773</v>
      </c>
      <c r="M5" s="170">
        <v>10.657222222222222</v>
      </c>
      <c r="N5" s="170">
        <v>6.516129032258069</v>
      </c>
      <c r="O5" s="170">
        <v>1.74625</v>
      </c>
      <c r="P5" s="171">
        <v>-1.873790322580645</v>
      </c>
    </row>
    <row r="6" spans="3:16" s="13" customFormat="1" ht="14.25">
      <c r="C6" s="14" t="s">
        <v>15</v>
      </c>
      <c r="D6" s="15" t="s">
        <v>49</v>
      </c>
      <c r="E6" s="172">
        <v>8.035394265232972</v>
      </c>
      <c r="F6" s="173">
        <v>27.83316798941798</v>
      </c>
      <c r="G6" s="173">
        <v>64.67965949820788</v>
      </c>
      <c r="H6" s="173">
        <v>104.99498456790126</v>
      </c>
      <c r="I6" s="173">
        <v>143.21983273596177</v>
      </c>
      <c r="J6" s="173">
        <v>164.61496913580248</v>
      </c>
      <c r="K6" s="173">
        <v>149.09871565113502</v>
      </c>
      <c r="L6" s="173">
        <v>113.29823775388289</v>
      </c>
      <c r="M6" s="173">
        <v>66.11921296296293</v>
      </c>
      <c r="N6" s="173">
        <v>28.450567502986857</v>
      </c>
      <c r="O6" s="173">
        <v>8.568672839506172</v>
      </c>
      <c r="P6" s="174">
        <v>4.253285543608124</v>
      </c>
    </row>
    <row r="7" spans="3:16" s="13" customFormat="1" ht="14.25">
      <c r="C7" s="14" t="s">
        <v>16</v>
      </c>
      <c r="D7" s="15" t="s">
        <v>49</v>
      </c>
      <c r="E7" s="172">
        <v>26.452359617682223</v>
      </c>
      <c r="F7" s="173">
        <v>78.97982804232805</v>
      </c>
      <c r="G7" s="173">
        <v>122.00978195937874</v>
      </c>
      <c r="H7" s="173">
        <v>141.8109567901234</v>
      </c>
      <c r="I7" s="173">
        <v>154.04271206690575</v>
      </c>
      <c r="J7" s="173">
        <v>153.94637345678976</v>
      </c>
      <c r="K7" s="173">
        <v>143.37776284348868</v>
      </c>
      <c r="L7" s="173">
        <v>131.97244623655916</v>
      </c>
      <c r="M7" s="173">
        <v>108.76311728395059</v>
      </c>
      <c r="N7" s="173">
        <v>64.56093189964157</v>
      </c>
      <c r="O7" s="173">
        <v>24.245756172839506</v>
      </c>
      <c r="P7" s="174">
        <v>14.503061529271207</v>
      </c>
    </row>
    <row r="8" spans="3:16" s="13" customFormat="1" ht="14.25">
      <c r="C8" s="14" t="s">
        <v>17</v>
      </c>
      <c r="D8" s="15" t="s">
        <v>49</v>
      </c>
      <c r="E8" s="172">
        <v>7.685931899641576</v>
      </c>
      <c r="F8" s="173">
        <v>29.138971560846564</v>
      </c>
      <c r="G8" s="173">
        <v>64.3466248506571</v>
      </c>
      <c r="H8" s="173">
        <v>104.56790123456791</v>
      </c>
      <c r="I8" s="173">
        <v>141.92390979689347</v>
      </c>
      <c r="J8" s="173">
        <v>155.95216049382702</v>
      </c>
      <c r="K8" s="173">
        <v>140.46632317801675</v>
      </c>
      <c r="L8" s="173">
        <v>105.05861708482684</v>
      </c>
      <c r="M8" s="173">
        <v>72.09992283950618</v>
      </c>
      <c r="N8" s="173">
        <v>32.83340800477899</v>
      </c>
      <c r="O8" s="173">
        <v>10.168209876543212</v>
      </c>
      <c r="P8" s="174">
        <v>4.280913978494621</v>
      </c>
    </row>
    <row r="9" spans="3:16" s="13" customFormat="1" ht="14.25">
      <c r="C9" s="14" t="s">
        <v>18</v>
      </c>
      <c r="D9" s="15" t="s">
        <v>49</v>
      </c>
      <c r="E9" s="172">
        <v>4.3873207885304675</v>
      </c>
      <c r="F9" s="173">
        <v>12.93361441798941</v>
      </c>
      <c r="G9" s="173">
        <v>26.26045400238949</v>
      </c>
      <c r="H9" s="173">
        <v>44.20331790123457</v>
      </c>
      <c r="I9" s="173">
        <v>74.44108422939065</v>
      </c>
      <c r="J9" s="173">
        <v>91.76388888888887</v>
      </c>
      <c r="K9" s="173">
        <v>80.53539426523292</v>
      </c>
      <c r="L9" s="173">
        <v>54.45079151732376</v>
      </c>
      <c r="M9" s="173">
        <v>31.57986111111111</v>
      </c>
      <c r="N9" s="173">
        <v>16.12641875746715</v>
      </c>
      <c r="O9" s="173">
        <v>5.4020061728395055</v>
      </c>
      <c r="P9" s="174">
        <v>2.7781511350059724</v>
      </c>
    </row>
    <row r="10" spans="3:16" ht="15" thickBot="1">
      <c r="C10" s="19" t="s">
        <v>46</v>
      </c>
      <c r="D10" s="20" t="s">
        <v>49</v>
      </c>
      <c r="E10" s="175">
        <v>10.576836917562723</v>
      </c>
      <c r="F10" s="176">
        <v>36.727017195767225</v>
      </c>
      <c r="G10" s="176">
        <v>86.68720131421749</v>
      </c>
      <c r="H10" s="176">
        <v>149.21527777777777</v>
      </c>
      <c r="I10" s="176">
        <v>219.81369474313033</v>
      </c>
      <c r="J10" s="176">
        <v>252.63734567901236</v>
      </c>
      <c r="K10" s="176">
        <v>226.98962066905605</v>
      </c>
      <c r="L10" s="176">
        <v>168.18623058542414</v>
      </c>
      <c r="M10" s="176">
        <v>96.34375</v>
      </c>
      <c r="N10" s="176">
        <v>43.71229091995221</v>
      </c>
      <c r="O10" s="176">
        <v>12.844907407407408</v>
      </c>
      <c r="P10" s="177">
        <v>6.105884109916369</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4"/>
  <dimension ref="A2:N185"/>
  <sheetViews>
    <sheetView tabSelected="1" zoomScale="95" zoomScaleNormal="95" workbookViewId="0" topLeftCell="A1">
      <selection activeCell="Q16" sqref="Q16"/>
    </sheetView>
  </sheetViews>
  <sheetFormatPr defaultColWidth="9.140625" defaultRowHeight="12.75"/>
  <cols>
    <col min="1" max="2" width="3.28125" style="3" customWidth="1"/>
    <col min="3" max="3" width="58.140625" style="3" customWidth="1"/>
    <col min="4" max="4" width="11.7109375" style="130" customWidth="1"/>
    <col min="5" max="5" width="10.7109375" style="130" customWidth="1"/>
    <col min="6" max="6" width="3.28125" style="3" customWidth="1"/>
    <col min="7" max="8" width="2.57421875" style="3" customWidth="1"/>
    <col min="9" max="9" width="3.28125" style="3" customWidth="1"/>
    <col min="10" max="10" width="30.7109375" style="3" customWidth="1"/>
    <col min="11" max="12" width="9.7109375" style="130" customWidth="1"/>
    <col min="13" max="13" width="3.28125" style="3" customWidth="1"/>
    <col min="14" max="14" width="4.57421875" style="3" customWidth="1"/>
    <col min="15" max="15" width="3.57421875" style="3" customWidth="1"/>
    <col min="16" max="16" width="4.421875" style="3" customWidth="1"/>
    <col min="17" max="17" width="12.421875" style="3" customWidth="1"/>
    <col min="18" max="18" width="17.7109375" style="3" customWidth="1"/>
    <col min="19" max="16384" width="9.140625" style="3" customWidth="1"/>
  </cols>
  <sheetData>
    <row r="1" ht="12.75"/>
    <row r="2" spans="2:11" ht="12.75">
      <c r="B2" s="26" t="s">
        <v>243</v>
      </c>
      <c r="D2" s="3"/>
      <c r="E2" s="3"/>
      <c r="K2" s="3"/>
    </row>
    <row r="3" spans="2:11" ht="12.75">
      <c r="B3" s="230" t="s">
        <v>244</v>
      </c>
      <c r="C3" s="231"/>
      <c r="D3" s="3"/>
      <c r="E3" s="3"/>
      <c r="K3" s="3"/>
    </row>
    <row r="4" spans="2:11" ht="18" customHeight="1" thickBot="1">
      <c r="B4" s="191"/>
      <c r="D4" s="3"/>
      <c r="E4" s="3"/>
      <c r="J4" s="1"/>
      <c r="K4" s="3"/>
    </row>
    <row r="5" spans="2:6" ht="13.5" thickTop="1">
      <c r="B5" s="222"/>
      <c r="C5" s="223"/>
      <c r="D5" s="224"/>
      <c r="E5" s="224"/>
      <c r="F5" s="41"/>
    </row>
    <row r="6" spans="2:6" ht="12.75">
      <c r="B6" s="42"/>
      <c r="C6" s="225" t="s">
        <v>239</v>
      </c>
      <c r="D6" s="226"/>
      <c r="E6" s="226"/>
      <c r="F6" s="44"/>
    </row>
    <row r="7" spans="2:6" ht="12.75">
      <c r="B7" s="42"/>
      <c r="C7" s="225" t="s">
        <v>238</v>
      </c>
      <c r="D7" s="226"/>
      <c r="E7" s="226"/>
      <c r="F7" s="44"/>
    </row>
    <row r="8" spans="2:6" ht="12.75">
      <c r="B8" s="42"/>
      <c r="C8" s="225"/>
      <c r="D8" s="226"/>
      <c r="E8" s="226"/>
      <c r="F8" s="44"/>
    </row>
    <row r="9" spans="2:6" ht="12.75">
      <c r="B9" s="42"/>
      <c r="C9" s="225" t="s">
        <v>240</v>
      </c>
      <c r="D9" s="226"/>
      <c r="E9" s="226"/>
      <c r="F9" s="44"/>
    </row>
    <row r="10" spans="2:6" ht="13.5" thickBot="1">
      <c r="B10" s="54"/>
      <c r="C10" s="55"/>
      <c r="D10" s="227"/>
      <c r="E10" s="227"/>
      <c r="F10" s="193"/>
    </row>
    <row r="11" ht="13.5" thickTop="1"/>
    <row r="12" ht="13.5" thickBot="1"/>
    <row r="13" spans="2:13" s="136" customFormat="1" ht="18" customHeight="1" thickTop="1">
      <c r="B13" s="131" t="s">
        <v>62</v>
      </c>
      <c r="C13" s="132"/>
      <c r="D13" s="133"/>
      <c r="E13" s="133"/>
      <c r="F13" s="134"/>
      <c r="G13" s="135"/>
      <c r="I13" s="131" t="s">
        <v>213</v>
      </c>
      <c r="J13" s="208"/>
      <c r="K13" s="208"/>
      <c r="L13" s="133"/>
      <c r="M13" s="134"/>
    </row>
    <row r="14" spans="2:13" s="136" customFormat="1" ht="18" customHeight="1" thickBot="1">
      <c r="B14" s="229"/>
      <c r="C14" s="146"/>
      <c r="D14" s="138"/>
      <c r="E14" s="138"/>
      <c r="F14" s="139"/>
      <c r="G14" s="135"/>
      <c r="I14" s="229"/>
      <c r="J14" s="135"/>
      <c r="K14" s="135"/>
      <c r="L14" s="138"/>
      <c r="M14" s="139"/>
    </row>
    <row r="15" spans="2:13" s="136" customFormat="1" ht="18" customHeight="1">
      <c r="B15" s="229"/>
      <c r="C15" s="146"/>
      <c r="D15" s="138"/>
      <c r="E15" s="138"/>
      <c r="F15" s="139"/>
      <c r="G15" s="135"/>
      <c r="I15" s="229"/>
      <c r="J15" s="142" t="s">
        <v>214</v>
      </c>
      <c r="K15" s="194"/>
      <c r="L15" s="196"/>
      <c r="M15" s="139"/>
    </row>
    <row r="16" spans="2:13" s="136" customFormat="1" ht="18" customHeight="1" thickBot="1">
      <c r="B16" s="137"/>
      <c r="C16" s="135"/>
      <c r="D16" s="138"/>
      <c r="E16" s="138"/>
      <c r="F16" s="139"/>
      <c r="G16" s="135"/>
      <c r="I16" s="137"/>
      <c r="J16" s="220" t="s">
        <v>186</v>
      </c>
      <c r="K16" s="197"/>
      <c r="L16" s="219" t="str">
        <f>'Climate data'!$C$5</f>
        <v>BE - Brussels</v>
      </c>
      <c r="M16" s="139"/>
    </row>
    <row r="17" spans="2:13" s="136" customFormat="1" ht="18" customHeight="1">
      <c r="B17" s="137"/>
      <c r="C17" s="235" t="s">
        <v>266</v>
      </c>
      <c r="D17" s="233">
        <v>1</v>
      </c>
      <c r="E17" s="234"/>
      <c r="F17" s="139"/>
      <c r="G17" s="135"/>
      <c r="I17" s="137"/>
      <c r="J17" s="147" t="s">
        <v>126</v>
      </c>
      <c r="K17" s="178">
        <f>Q_heating_primary</f>
        <v>33694.41204222755</v>
      </c>
      <c r="L17" s="145" t="s">
        <v>1</v>
      </c>
      <c r="M17" s="139"/>
    </row>
    <row r="18" spans="2:13" s="136" customFormat="1" ht="18" customHeight="1">
      <c r="B18" s="137"/>
      <c r="C18" s="200" t="s">
        <v>229</v>
      </c>
      <c r="D18" s="167">
        <v>3</v>
      </c>
      <c r="E18" s="145"/>
      <c r="F18" s="139"/>
      <c r="G18" s="135"/>
      <c r="I18" s="137"/>
      <c r="J18" s="147" t="s">
        <v>161</v>
      </c>
      <c r="K18" s="178">
        <f>Q_cooling_primary</f>
        <v>0</v>
      </c>
      <c r="L18" s="145" t="s">
        <v>1</v>
      </c>
      <c r="M18" s="139"/>
    </row>
    <row r="19" spans="2:13" s="136" customFormat="1" ht="18" customHeight="1" thickBot="1">
      <c r="B19" s="137"/>
      <c r="C19" s="201" t="s">
        <v>230</v>
      </c>
      <c r="D19" s="203" t="s">
        <v>231</v>
      </c>
      <c r="E19" s="202"/>
      <c r="F19" s="139"/>
      <c r="G19" s="135"/>
      <c r="I19" s="137"/>
      <c r="J19" s="147" t="s">
        <v>151</v>
      </c>
      <c r="K19" s="178">
        <f>Q_DHW_primary</f>
        <v>17597.039999999997</v>
      </c>
      <c r="L19" s="145" t="s">
        <v>1</v>
      </c>
      <c r="M19" s="139"/>
    </row>
    <row r="20" spans="2:13" s="136" customFormat="1" ht="18" customHeight="1" thickBot="1">
      <c r="B20" s="137"/>
      <c r="C20" s="146"/>
      <c r="D20" s="138"/>
      <c r="E20" s="138"/>
      <c r="F20" s="139"/>
      <c r="G20" s="135"/>
      <c r="I20" s="137"/>
      <c r="J20" s="151" t="s">
        <v>158</v>
      </c>
      <c r="K20" s="195">
        <f>Q_Fans_primary</f>
        <v>4173.60384</v>
      </c>
      <c r="L20" s="143" t="s">
        <v>1</v>
      </c>
      <c r="M20" s="139"/>
    </row>
    <row r="21" spans="2:13" s="136" customFormat="1" ht="18" customHeight="1" thickBot="1">
      <c r="B21" s="137"/>
      <c r="C21" s="235" t="s">
        <v>267</v>
      </c>
      <c r="D21" s="233"/>
      <c r="E21" s="234"/>
      <c r="F21" s="139"/>
      <c r="G21" s="135"/>
      <c r="I21" s="137"/>
      <c r="J21" s="213" t="s">
        <v>241</v>
      </c>
      <c r="K21" s="212">
        <f>SUM(K17:K20)</f>
        <v>55465.05588222755</v>
      </c>
      <c r="L21" s="214" t="s">
        <v>1</v>
      </c>
      <c r="M21" s="139"/>
    </row>
    <row r="22" spans="2:13" s="136" customFormat="1" ht="18" customHeight="1" thickBot="1">
      <c r="B22" s="137"/>
      <c r="C22" s="144" t="s">
        <v>4</v>
      </c>
      <c r="D22" s="1">
        <v>0.44</v>
      </c>
      <c r="E22" s="145" t="s">
        <v>65</v>
      </c>
      <c r="F22" s="139"/>
      <c r="G22" s="135"/>
      <c r="I22" s="137"/>
      <c r="J22" s="135"/>
      <c r="K22" s="135"/>
      <c r="L22" s="138"/>
      <c r="M22" s="139"/>
    </row>
    <row r="23" spans="2:13" s="136" customFormat="1" ht="18" customHeight="1">
      <c r="B23" s="137"/>
      <c r="C23" s="144" t="s">
        <v>5</v>
      </c>
      <c r="D23" s="1">
        <v>0.23</v>
      </c>
      <c r="E23" s="145" t="s">
        <v>65</v>
      </c>
      <c r="F23" s="139"/>
      <c r="G23" s="135"/>
      <c r="I23" s="137"/>
      <c r="J23" s="209" t="s">
        <v>218</v>
      </c>
      <c r="K23" s="210"/>
      <c r="L23" s="211"/>
      <c r="M23" s="139"/>
    </row>
    <row r="24" spans="2:13" s="136" customFormat="1" ht="18" customHeight="1">
      <c r="B24" s="137"/>
      <c r="C24" s="144" t="s">
        <v>6</v>
      </c>
      <c r="D24" s="1">
        <v>0.21</v>
      </c>
      <c r="E24" s="145" t="s">
        <v>65</v>
      </c>
      <c r="F24" s="139"/>
      <c r="G24" s="135"/>
      <c r="I24" s="137"/>
      <c r="J24" s="220" t="s">
        <v>186</v>
      </c>
      <c r="K24" s="197"/>
      <c r="L24" s="219" t="str">
        <f>'Climate data'!$C$5</f>
        <v>BE - Brussels</v>
      </c>
      <c r="M24" s="139"/>
    </row>
    <row r="25" spans="2:13" s="136" customFormat="1" ht="18" customHeight="1">
      <c r="B25" s="137"/>
      <c r="C25" s="144" t="s">
        <v>7</v>
      </c>
      <c r="D25" s="1">
        <v>3</v>
      </c>
      <c r="E25" s="145" t="s">
        <v>65</v>
      </c>
      <c r="F25" s="139"/>
      <c r="G25" s="135"/>
      <c r="I25" s="137"/>
      <c r="J25" s="215" t="s">
        <v>242</v>
      </c>
      <c r="K25" s="178">
        <f>Q_CSI_H_ref+Q_CSI_C_ref</f>
        <v>12597.06409102082</v>
      </c>
      <c r="L25" s="145" t="s">
        <v>100</v>
      </c>
      <c r="M25" s="139"/>
    </row>
    <row r="26" spans="2:14" s="136" customFormat="1" ht="18" customHeight="1" thickBot="1">
      <c r="B26" s="137"/>
      <c r="C26" s="148" t="s">
        <v>9</v>
      </c>
      <c r="D26" s="165">
        <v>1.71</v>
      </c>
      <c r="E26" s="143" t="s">
        <v>65</v>
      </c>
      <c r="F26" s="139"/>
      <c r="G26" s="135"/>
      <c r="I26" s="221"/>
      <c r="J26" s="144" t="s">
        <v>215</v>
      </c>
      <c r="K26" s="149">
        <f>Q_CSI_H/Q_CSI_tot_ref</f>
        <v>1</v>
      </c>
      <c r="L26" s="154" t="s">
        <v>0</v>
      </c>
      <c r="N26" s="137"/>
    </row>
    <row r="27" spans="2:13" s="136" customFormat="1" ht="18" customHeight="1" thickBot="1">
      <c r="B27" s="137"/>
      <c r="F27" s="139"/>
      <c r="G27" s="135"/>
      <c r="I27" s="137"/>
      <c r="J27" s="144" t="s">
        <v>216</v>
      </c>
      <c r="K27" s="149">
        <f>Q_CSI_C/Q_CSI_tot_ref</f>
        <v>0</v>
      </c>
      <c r="L27" s="154" t="s">
        <v>0</v>
      </c>
      <c r="M27" s="139"/>
    </row>
    <row r="28" spans="2:13" s="136" customFormat="1" ht="18" customHeight="1" thickBot="1">
      <c r="B28" s="137"/>
      <c r="C28" s="235" t="s">
        <v>60</v>
      </c>
      <c r="D28" s="233"/>
      <c r="E28" s="234"/>
      <c r="F28" s="139"/>
      <c r="G28" s="135"/>
      <c r="I28" s="137"/>
      <c r="J28" s="216" t="s">
        <v>217</v>
      </c>
      <c r="K28" s="217">
        <f>K26+K27</f>
        <v>1</v>
      </c>
      <c r="L28" s="218" t="s">
        <v>0</v>
      </c>
      <c r="M28" s="139"/>
    </row>
    <row r="29" spans="2:13" s="136" customFormat="1" ht="18" customHeight="1" thickBot="1">
      <c r="B29" s="137"/>
      <c r="C29" s="144" t="s">
        <v>8</v>
      </c>
      <c r="D29" s="1">
        <v>129.39</v>
      </c>
      <c r="E29" s="150" t="s">
        <v>63</v>
      </c>
      <c r="F29" s="139"/>
      <c r="G29" s="135"/>
      <c r="I29" s="159"/>
      <c r="J29" s="160"/>
      <c r="K29" s="160"/>
      <c r="L29" s="160"/>
      <c r="M29" s="162"/>
    </row>
    <row r="30" spans="2:13" s="136" customFormat="1" ht="18" customHeight="1" thickTop="1">
      <c r="B30" s="137"/>
      <c r="C30" s="144" t="s">
        <v>132</v>
      </c>
      <c r="D30" s="1">
        <v>43.13</v>
      </c>
      <c r="E30" s="150" t="s">
        <v>63</v>
      </c>
      <c r="F30" s="139"/>
      <c r="G30" s="135"/>
      <c r="I30" s="135"/>
      <c r="J30" s="135"/>
      <c r="K30" s="135"/>
      <c r="L30" s="135"/>
      <c r="M30" s="135"/>
    </row>
    <row r="31" spans="2:13" s="136" customFormat="1" ht="18" customHeight="1">
      <c r="B31" s="137"/>
      <c r="C31" s="144" t="s">
        <v>133</v>
      </c>
      <c r="D31" s="1">
        <v>43.13</v>
      </c>
      <c r="E31" s="150" t="s">
        <v>64</v>
      </c>
      <c r="F31" s="139"/>
      <c r="G31" s="135"/>
      <c r="I31" s="135"/>
      <c r="J31" s="135"/>
      <c r="K31" s="135"/>
      <c r="L31" s="138"/>
      <c r="M31" s="135"/>
    </row>
    <row r="32" spans="2:12" s="136" customFormat="1" ht="18" customHeight="1">
      <c r="B32" s="137"/>
      <c r="C32" s="144" t="s">
        <v>134</v>
      </c>
      <c r="D32" s="1">
        <v>66.5</v>
      </c>
      <c r="E32" s="150" t="s">
        <v>63</v>
      </c>
      <c r="F32" s="139"/>
      <c r="G32" s="135"/>
      <c r="J32" s="135"/>
      <c r="L32" s="140"/>
    </row>
    <row r="33" spans="2:12" s="136" customFormat="1" ht="18" customHeight="1">
      <c r="B33" s="137"/>
      <c r="C33" s="144" t="s">
        <v>135</v>
      </c>
      <c r="D33" s="1">
        <v>1.5</v>
      </c>
      <c r="E33" s="150" t="s">
        <v>64</v>
      </c>
      <c r="F33" s="139"/>
      <c r="G33" s="135"/>
      <c r="J33" s="135"/>
      <c r="L33" s="140"/>
    </row>
    <row r="34" spans="2:12" s="136" customFormat="1" ht="18" customHeight="1">
      <c r="B34" s="137"/>
      <c r="C34" s="144" t="s">
        <v>164</v>
      </c>
      <c r="D34" s="1">
        <v>0</v>
      </c>
      <c r="E34" s="150" t="s">
        <v>64</v>
      </c>
      <c r="F34" s="139"/>
      <c r="G34" s="135"/>
      <c r="J34" s="135"/>
      <c r="L34" s="140"/>
    </row>
    <row r="35" spans="2:12" s="136" customFormat="1" ht="18" customHeight="1">
      <c r="B35" s="137"/>
      <c r="C35" s="144" t="s">
        <v>136</v>
      </c>
      <c r="D35" s="1">
        <v>34</v>
      </c>
      <c r="E35" s="150" t="s">
        <v>64</v>
      </c>
      <c r="F35" s="139"/>
      <c r="G35" s="135"/>
      <c r="J35" s="135"/>
      <c r="L35" s="140"/>
    </row>
    <row r="36" spans="2:12" s="136" customFormat="1" ht="18" customHeight="1">
      <c r="B36" s="137"/>
      <c r="C36" s="144" t="s">
        <v>137</v>
      </c>
      <c r="D36" s="1">
        <v>9.75</v>
      </c>
      <c r="E36" s="150" t="s">
        <v>64</v>
      </c>
      <c r="F36" s="139"/>
      <c r="G36" s="135"/>
      <c r="J36" s="135"/>
      <c r="L36" s="140"/>
    </row>
    <row r="37" spans="2:12" s="136" customFormat="1" ht="18" customHeight="1">
      <c r="B37" s="137"/>
      <c r="C37" s="144" t="s">
        <v>165</v>
      </c>
      <c r="D37" s="1">
        <v>2.2</v>
      </c>
      <c r="E37" s="150" t="s">
        <v>64</v>
      </c>
      <c r="F37" s="139"/>
      <c r="G37" s="135"/>
      <c r="J37" s="135"/>
      <c r="L37" s="140"/>
    </row>
    <row r="38" spans="2:12" s="136" customFormat="1" ht="18" customHeight="1">
      <c r="B38" s="137"/>
      <c r="C38" s="144" t="s">
        <v>138</v>
      </c>
      <c r="D38" s="1">
        <v>0</v>
      </c>
      <c r="E38" s="150" t="s">
        <v>64</v>
      </c>
      <c r="F38" s="139"/>
      <c r="G38" s="135"/>
      <c r="J38" s="135"/>
      <c r="L38" s="140"/>
    </row>
    <row r="39" spans="2:12" s="136" customFormat="1" ht="18" customHeight="1">
      <c r="B39" s="137"/>
      <c r="C39" s="144" t="s">
        <v>139</v>
      </c>
      <c r="D39" s="1">
        <v>0</v>
      </c>
      <c r="E39" s="150" t="s">
        <v>64</v>
      </c>
      <c r="F39" s="139"/>
      <c r="G39" s="135"/>
      <c r="J39" s="135"/>
      <c r="L39" s="140"/>
    </row>
    <row r="40" spans="2:12" s="136" customFormat="1" ht="18" customHeight="1">
      <c r="B40" s="137"/>
      <c r="C40" s="144" t="s">
        <v>166</v>
      </c>
      <c r="D40" s="1">
        <v>0</v>
      </c>
      <c r="E40" s="150" t="s">
        <v>64</v>
      </c>
      <c r="F40" s="139"/>
      <c r="G40" s="135"/>
      <c r="J40" s="135"/>
      <c r="L40" s="140"/>
    </row>
    <row r="41" spans="2:12" s="136" customFormat="1" ht="18" customHeight="1">
      <c r="B41" s="137"/>
      <c r="C41" s="144" t="s">
        <v>140</v>
      </c>
      <c r="D41" s="1">
        <v>35.7</v>
      </c>
      <c r="E41" s="150" t="s">
        <v>64</v>
      </c>
      <c r="F41" s="139"/>
      <c r="G41" s="135"/>
      <c r="J41" s="135"/>
      <c r="L41" s="140"/>
    </row>
    <row r="42" spans="2:12" s="136" customFormat="1" ht="18" customHeight="1">
      <c r="B42" s="137"/>
      <c r="C42" s="144" t="s">
        <v>141</v>
      </c>
      <c r="D42" s="1">
        <v>8</v>
      </c>
      <c r="E42" s="150" t="s">
        <v>64</v>
      </c>
      <c r="F42" s="139"/>
      <c r="G42" s="135"/>
      <c r="J42" s="135"/>
      <c r="L42" s="140"/>
    </row>
    <row r="43" spans="2:12" s="136" customFormat="1" ht="18" customHeight="1" thickBot="1">
      <c r="B43" s="137"/>
      <c r="C43" s="148" t="s">
        <v>167</v>
      </c>
      <c r="D43" s="165">
        <v>2.2</v>
      </c>
      <c r="E43" s="155" t="s">
        <v>64</v>
      </c>
      <c r="F43" s="139"/>
      <c r="G43" s="135"/>
      <c r="J43" s="135"/>
      <c r="L43" s="140"/>
    </row>
    <row r="44" spans="2:12" s="136" customFormat="1" ht="18" customHeight="1" thickBot="1">
      <c r="B44" s="137"/>
      <c r="F44" s="139"/>
      <c r="G44" s="135"/>
      <c r="J44" s="135"/>
      <c r="L44" s="140"/>
    </row>
    <row r="45" spans="2:12" s="136" customFormat="1" ht="18" customHeight="1">
      <c r="B45" s="137"/>
      <c r="C45" s="235" t="s">
        <v>61</v>
      </c>
      <c r="D45" s="233">
        <v>2</v>
      </c>
      <c r="E45" s="234"/>
      <c r="F45" s="139"/>
      <c r="G45" s="135"/>
      <c r="L45" s="140"/>
    </row>
    <row r="46" spans="2:12" s="136" customFormat="1" ht="18" customHeight="1">
      <c r="B46" s="137"/>
      <c r="C46" s="144" t="s">
        <v>130</v>
      </c>
      <c r="D46" s="167">
        <v>2</v>
      </c>
      <c r="E46" s="145"/>
      <c r="F46" s="139"/>
      <c r="G46" s="135"/>
      <c r="L46" s="140"/>
    </row>
    <row r="47" spans="2:12" s="136" customFormat="1" ht="18" customHeight="1" thickBot="1">
      <c r="B47" s="137"/>
      <c r="C47" s="148" t="s">
        <v>184</v>
      </c>
      <c r="D47" s="165">
        <v>0</v>
      </c>
      <c r="E47" s="143"/>
      <c r="F47" s="139"/>
      <c r="G47" s="135"/>
      <c r="L47" s="140"/>
    </row>
    <row r="48" spans="2:12" s="136" customFormat="1" ht="18" customHeight="1" thickBot="1">
      <c r="B48" s="137"/>
      <c r="C48" s="135"/>
      <c r="D48" s="138"/>
      <c r="E48" s="138"/>
      <c r="F48" s="139"/>
      <c r="G48" s="135"/>
      <c r="L48" s="140"/>
    </row>
    <row r="49" spans="2:12" s="136" customFormat="1" ht="18" customHeight="1">
      <c r="B49" s="137"/>
      <c r="C49" s="235" t="s">
        <v>12</v>
      </c>
      <c r="D49" s="233">
        <v>1</v>
      </c>
      <c r="E49" s="234"/>
      <c r="F49" s="139"/>
      <c r="G49" s="135"/>
      <c r="L49" s="140"/>
    </row>
    <row r="50" spans="2:12" s="136" customFormat="1" ht="18" customHeight="1">
      <c r="B50" s="137"/>
      <c r="C50" s="144" t="s">
        <v>261</v>
      </c>
      <c r="D50" s="1">
        <v>0.9</v>
      </c>
      <c r="E50" s="150"/>
      <c r="F50" s="139"/>
      <c r="G50" s="135"/>
      <c r="L50" s="140"/>
    </row>
    <row r="51" spans="2:12" s="136" customFormat="1" ht="18" customHeight="1">
      <c r="B51" s="137"/>
      <c r="C51" s="144" t="s">
        <v>129</v>
      </c>
      <c r="D51" s="1">
        <v>1</v>
      </c>
      <c r="E51" s="150"/>
      <c r="F51" s="139"/>
      <c r="G51" s="135"/>
      <c r="L51" s="140"/>
    </row>
    <row r="52" spans="2:12" s="136" customFormat="1" ht="18" customHeight="1" thickBot="1">
      <c r="B52" s="137"/>
      <c r="C52" s="206" t="s">
        <v>231</v>
      </c>
      <c r="D52" s="207" t="s">
        <v>231</v>
      </c>
      <c r="E52" s="205"/>
      <c r="F52" s="139"/>
      <c r="G52" s="135"/>
      <c r="L52" s="140"/>
    </row>
    <row r="53" spans="2:12" s="136" customFormat="1" ht="18" customHeight="1" thickBot="1">
      <c r="B53" s="137"/>
      <c r="C53" s="135"/>
      <c r="D53" s="149"/>
      <c r="E53" s="149"/>
      <c r="F53" s="139"/>
      <c r="G53" s="135"/>
      <c r="L53" s="140"/>
    </row>
    <row r="54" spans="2:12" s="136" customFormat="1" ht="18" customHeight="1">
      <c r="B54" s="137"/>
      <c r="C54" s="235" t="s">
        <v>24</v>
      </c>
      <c r="D54" s="233">
        <v>2</v>
      </c>
      <c r="E54" s="234"/>
      <c r="F54" s="139"/>
      <c r="G54" s="135"/>
      <c r="L54" s="140"/>
    </row>
    <row r="55" spans="2:12" s="136" customFormat="1" ht="18" customHeight="1">
      <c r="B55" s="137"/>
      <c r="C55" s="144" t="s">
        <v>181</v>
      </c>
      <c r="D55" s="198">
        <v>0</v>
      </c>
      <c r="E55" s="158"/>
      <c r="F55" s="139"/>
      <c r="G55" s="135"/>
      <c r="L55" s="140"/>
    </row>
    <row r="56" spans="2:12" s="136" customFormat="1" ht="18" customHeight="1">
      <c r="B56" s="137"/>
      <c r="C56" s="144" t="s">
        <v>129</v>
      </c>
      <c r="D56" s="1">
        <v>2</v>
      </c>
      <c r="E56" s="150"/>
      <c r="F56" s="139"/>
      <c r="G56" s="135"/>
      <c r="L56" s="140"/>
    </row>
    <row r="57" spans="2:12" s="136" customFormat="1" ht="18" customHeight="1" thickBot="1">
      <c r="B57" s="137"/>
      <c r="C57" s="206" t="s">
        <v>231</v>
      </c>
      <c r="D57" s="207" t="s">
        <v>231</v>
      </c>
      <c r="E57" s="205"/>
      <c r="F57" s="139"/>
      <c r="G57" s="135"/>
      <c r="L57" s="140"/>
    </row>
    <row r="58" spans="2:12" s="136" customFormat="1" ht="18" customHeight="1" thickBot="1">
      <c r="B58" s="137"/>
      <c r="C58" s="135"/>
      <c r="D58" s="149"/>
      <c r="E58" s="149"/>
      <c r="F58" s="139"/>
      <c r="G58" s="135"/>
      <c r="L58" s="140"/>
    </row>
    <row r="59" spans="2:12" s="136" customFormat="1" ht="18" customHeight="1">
      <c r="B59" s="137"/>
      <c r="C59" s="235" t="s">
        <v>183</v>
      </c>
      <c r="D59" s="233"/>
      <c r="E59" s="234"/>
      <c r="F59" s="139"/>
      <c r="G59" s="135"/>
      <c r="L59" s="140"/>
    </row>
    <row r="60" spans="2:12" s="136" customFormat="1" ht="18" customHeight="1">
      <c r="B60" s="137"/>
      <c r="C60" s="144" t="s">
        <v>182</v>
      </c>
      <c r="D60" s="1">
        <v>0.5</v>
      </c>
      <c r="E60" s="150"/>
      <c r="F60" s="139"/>
      <c r="G60" s="135"/>
      <c r="L60" s="140"/>
    </row>
    <row r="61" spans="2:12" s="136" customFormat="1" ht="18" customHeight="1">
      <c r="B61" s="137"/>
      <c r="C61" s="144" t="s">
        <v>128</v>
      </c>
      <c r="D61" s="228">
        <v>0</v>
      </c>
      <c r="E61" s="150" t="s">
        <v>257</v>
      </c>
      <c r="F61" s="139"/>
      <c r="G61" s="135"/>
      <c r="L61" s="140"/>
    </row>
    <row r="62" spans="2:12" s="136" customFormat="1" ht="18" customHeight="1">
      <c r="B62" s="137"/>
      <c r="C62" s="144" t="s">
        <v>129</v>
      </c>
      <c r="D62" s="1">
        <v>1</v>
      </c>
      <c r="E62" s="150"/>
      <c r="F62" s="139"/>
      <c r="G62" s="135"/>
      <c r="L62" s="140"/>
    </row>
    <row r="63" spans="2:12" s="136" customFormat="1" ht="18" customHeight="1" thickBot="1">
      <c r="B63" s="137"/>
      <c r="C63" s="206" t="s">
        <v>231</v>
      </c>
      <c r="D63" s="207" t="s">
        <v>231</v>
      </c>
      <c r="E63" s="205"/>
      <c r="F63" s="139"/>
      <c r="G63" s="135"/>
      <c r="L63" s="140"/>
    </row>
    <row r="64" spans="2:12" s="136" customFormat="1" ht="18" customHeight="1" thickBot="1">
      <c r="B64" s="159"/>
      <c r="C64" s="160"/>
      <c r="D64" s="161"/>
      <c r="E64" s="161"/>
      <c r="F64" s="162"/>
      <c r="G64" s="135"/>
      <c r="L64" s="140"/>
    </row>
    <row r="65" spans="4:12" s="136" customFormat="1" ht="18" customHeight="1" thickTop="1">
      <c r="D65" s="140"/>
      <c r="E65" s="140"/>
      <c r="L65" s="140"/>
    </row>
    <row r="66" spans="1:12" s="136" customFormat="1" ht="18" customHeight="1" thickBot="1">
      <c r="A66" s="3"/>
      <c r="B66" s="3"/>
      <c r="C66" s="3"/>
      <c r="D66" s="130"/>
      <c r="E66" s="130"/>
      <c r="F66" s="3"/>
      <c r="G66" s="3"/>
      <c r="K66" s="140"/>
      <c r="L66" s="140"/>
    </row>
    <row r="67" spans="1:12" s="136" customFormat="1" ht="18" customHeight="1" thickTop="1">
      <c r="A67" s="135"/>
      <c r="B67" s="131" t="s">
        <v>224</v>
      </c>
      <c r="C67" s="132"/>
      <c r="D67" s="133"/>
      <c r="E67" s="133"/>
      <c r="F67" s="134"/>
      <c r="K67" s="140"/>
      <c r="L67" s="140"/>
    </row>
    <row r="68" spans="1:12" s="136" customFormat="1" ht="18" customHeight="1">
      <c r="A68" s="135"/>
      <c r="B68" s="137"/>
      <c r="D68" s="140"/>
      <c r="E68" s="140"/>
      <c r="F68" s="139"/>
      <c r="K68" s="140"/>
      <c r="L68" s="140"/>
    </row>
    <row r="69" spans="1:12" s="136" customFormat="1" ht="18" customHeight="1" thickBot="1">
      <c r="A69" s="135"/>
      <c r="B69" s="137"/>
      <c r="D69" s="140"/>
      <c r="E69" s="140"/>
      <c r="F69" s="139"/>
      <c r="K69" s="140"/>
      <c r="L69" s="140"/>
    </row>
    <row r="70" spans="1:12" s="136" customFormat="1" ht="18" customHeight="1">
      <c r="A70" s="135"/>
      <c r="B70" s="137"/>
      <c r="C70" s="232" t="s">
        <v>10</v>
      </c>
      <c r="D70" s="233"/>
      <c r="E70" s="234"/>
      <c r="F70" s="139"/>
      <c r="K70" s="140"/>
      <c r="L70" s="140"/>
    </row>
    <row r="71" spans="1:12" s="136" customFormat="1" ht="18" customHeight="1">
      <c r="A71" s="135"/>
      <c r="B71" s="137"/>
      <c r="C71" s="144" t="s">
        <v>87</v>
      </c>
      <c r="D71" s="167">
        <v>19</v>
      </c>
      <c r="E71" s="145" t="s">
        <v>45</v>
      </c>
      <c r="F71" s="139"/>
      <c r="K71" s="140"/>
      <c r="L71" s="140"/>
    </row>
    <row r="72" spans="1:12" s="136" customFormat="1" ht="18" customHeight="1">
      <c r="A72" s="135"/>
      <c r="B72" s="137"/>
      <c r="C72" s="144" t="s">
        <v>88</v>
      </c>
      <c r="D72" s="167">
        <v>24</v>
      </c>
      <c r="E72" s="145" t="s">
        <v>45</v>
      </c>
      <c r="F72" s="139"/>
      <c r="K72" s="140"/>
      <c r="L72" s="140"/>
    </row>
    <row r="73" spans="1:12" s="136" customFormat="1" ht="18" customHeight="1" thickBot="1">
      <c r="A73" s="135"/>
      <c r="B73" s="137"/>
      <c r="C73" s="148" t="s">
        <v>263</v>
      </c>
      <c r="D73" s="166">
        <v>6</v>
      </c>
      <c r="E73" s="143" t="s">
        <v>49</v>
      </c>
      <c r="F73" s="139"/>
      <c r="K73" s="140"/>
      <c r="L73" s="140"/>
    </row>
    <row r="74" spans="1:12" s="136" customFormat="1" ht="18" customHeight="1" thickBot="1">
      <c r="A74" s="135"/>
      <c r="B74" s="137"/>
      <c r="D74" s="140"/>
      <c r="E74" s="140"/>
      <c r="F74" s="139"/>
      <c r="K74" s="140"/>
      <c r="L74" s="140"/>
    </row>
    <row r="75" spans="1:12" s="136" customFormat="1" ht="18" customHeight="1">
      <c r="A75" s="135"/>
      <c r="B75" s="137"/>
      <c r="C75" s="232" t="s">
        <v>73</v>
      </c>
      <c r="D75" s="233"/>
      <c r="E75" s="234"/>
      <c r="F75" s="139"/>
      <c r="K75" s="140"/>
      <c r="L75" s="140"/>
    </row>
    <row r="76" spans="1:12" s="136" customFormat="1" ht="18" customHeight="1">
      <c r="A76" s="135"/>
      <c r="B76" s="137"/>
      <c r="C76" s="144" t="s">
        <v>162</v>
      </c>
      <c r="D76" s="198">
        <v>0.6</v>
      </c>
      <c r="E76" s="152" t="s">
        <v>265</v>
      </c>
      <c r="F76" s="139"/>
      <c r="K76" s="140"/>
      <c r="L76" s="140"/>
    </row>
    <row r="77" spans="1:12" s="136" customFormat="1" ht="18" customHeight="1" thickBot="1">
      <c r="A77" s="135"/>
      <c r="B77" s="137"/>
      <c r="C77" s="148" t="s">
        <v>163</v>
      </c>
      <c r="D77" s="199">
        <v>0.6</v>
      </c>
      <c r="E77" s="153" t="s">
        <v>0</v>
      </c>
      <c r="F77" s="139"/>
      <c r="K77" s="140"/>
      <c r="L77" s="140"/>
    </row>
    <row r="78" spans="1:12" s="136" customFormat="1" ht="18" customHeight="1" thickBot="1">
      <c r="A78" s="135"/>
      <c r="B78" s="137"/>
      <c r="D78" s="140"/>
      <c r="E78" s="140"/>
      <c r="F78" s="139"/>
      <c r="K78" s="140"/>
      <c r="L78" s="140"/>
    </row>
    <row r="79" spans="1:12" s="136" customFormat="1" ht="18" customHeight="1">
      <c r="A79" s="135"/>
      <c r="B79" s="137"/>
      <c r="C79" s="232" t="s">
        <v>67</v>
      </c>
      <c r="D79" s="233"/>
      <c r="E79" s="234"/>
      <c r="F79" s="139"/>
      <c r="K79" s="140"/>
      <c r="L79" s="140"/>
    </row>
    <row r="80" spans="1:12" s="136" customFormat="1" ht="18" customHeight="1">
      <c r="A80" s="135"/>
      <c r="B80" s="137"/>
      <c r="C80" s="144" t="s">
        <v>83</v>
      </c>
      <c r="D80" s="168">
        <v>0.72</v>
      </c>
      <c r="E80" s="154" t="s">
        <v>0</v>
      </c>
      <c r="F80" s="139"/>
      <c r="K80" s="140"/>
      <c r="L80" s="140"/>
    </row>
    <row r="81" spans="1:12" s="136" customFormat="1" ht="18" customHeight="1" thickBot="1">
      <c r="A81" s="135"/>
      <c r="B81" s="137"/>
      <c r="C81" s="148" t="s">
        <v>82</v>
      </c>
      <c r="D81" s="199">
        <v>0.75</v>
      </c>
      <c r="E81" s="153" t="s">
        <v>0</v>
      </c>
      <c r="F81" s="139"/>
      <c r="K81" s="140"/>
      <c r="L81" s="140"/>
    </row>
    <row r="82" spans="1:12" s="136" customFormat="1" ht="18" customHeight="1" thickBot="1">
      <c r="A82" s="135"/>
      <c r="B82" s="137"/>
      <c r="D82" s="140">
        <v>2</v>
      </c>
      <c r="E82" s="140"/>
      <c r="F82" s="139"/>
      <c r="K82" s="140"/>
      <c r="L82" s="140"/>
    </row>
    <row r="83" spans="1:12" s="136" customFormat="1" ht="18" customHeight="1">
      <c r="A83" s="135"/>
      <c r="B83" s="137"/>
      <c r="C83" s="232" t="s">
        <v>68</v>
      </c>
      <c r="D83" s="233"/>
      <c r="E83" s="234"/>
      <c r="F83" s="139"/>
      <c r="K83" s="140"/>
      <c r="L83" s="140"/>
    </row>
    <row r="84" spans="1:12" s="136" customFormat="1" ht="18" customHeight="1" thickBot="1">
      <c r="A84" s="135"/>
      <c r="B84" s="137"/>
      <c r="C84" s="148" t="s">
        <v>86</v>
      </c>
      <c r="D84" s="199">
        <v>1</v>
      </c>
      <c r="E84" s="153" t="s">
        <v>0</v>
      </c>
      <c r="F84" s="139"/>
      <c r="K84" s="140"/>
      <c r="L84" s="140"/>
    </row>
    <row r="85" spans="1:12" s="136" customFormat="1" ht="18" customHeight="1" thickBot="1">
      <c r="A85" s="135"/>
      <c r="B85" s="137"/>
      <c r="F85" s="139"/>
      <c r="K85" s="140"/>
      <c r="L85" s="140"/>
    </row>
    <row r="86" spans="1:12" s="136" customFormat="1" ht="18" customHeight="1">
      <c r="A86" s="135"/>
      <c r="B86" s="137"/>
      <c r="C86" s="232" t="s">
        <v>66</v>
      </c>
      <c r="D86" s="233"/>
      <c r="E86" s="234"/>
      <c r="F86" s="139"/>
      <c r="K86" s="140"/>
      <c r="L86" s="140"/>
    </row>
    <row r="87" spans="1:12" s="136" customFormat="1" ht="18" customHeight="1">
      <c r="A87" s="135"/>
      <c r="B87" s="137"/>
      <c r="C87" s="144" t="s">
        <v>81</v>
      </c>
      <c r="D87" s="198">
        <v>0.8</v>
      </c>
      <c r="E87" s="154" t="s">
        <v>0</v>
      </c>
      <c r="F87" s="139"/>
      <c r="K87" s="140"/>
      <c r="L87" s="140"/>
    </row>
    <row r="88" spans="1:12" s="136" customFormat="1" ht="18" customHeight="1">
      <c r="A88" s="135"/>
      <c r="B88" s="137"/>
      <c r="C88" s="144" t="s">
        <v>84</v>
      </c>
      <c r="D88" s="198">
        <v>0.04</v>
      </c>
      <c r="E88" s="145" t="s">
        <v>69</v>
      </c>
      <c r="F88" s="139"/>
      <c r="K88" s="140"/>
      <c r="L88" s="140"/>
    </row>
    <row r="89" spans="1:12" s="136" customFormat="1" ht="18" customHeight="1" thickBot="1">
      <c r="A89" s="135"/>
      <c r="B89" s="137"/>
      <c r="C89" s="148" t="s">
        <v>85</v>
      </c>
      <c r="D89" s="199">
        <v>0.9</v>
      </c>
      <c r="E89" s="153" t="s">
        <v>0</v>
      </c>
      <c r="F89" s="139"/>
      <c r="K89" s="140"/>
      <c r="L89" s="140"/>
    </row>
    <row r="90" spans="1:12" s="136" customFormat="1" ht="18" customHeight="1" thickBot="1">
      <c r="A90" s="135"/>
      <c r="B90" s="137"/>
      <c r="D90" s="140"/>
      <c r="E90" s="140"/>
      <c r="F90" s="139"/>
      <c r="K90" s="140"/>
      <c r="L90" s="140"/>
    </row>
    <row r="91" spans="1:12" s="136" customFormat="1" ht="18" customHeight="1">
      <c r="A91" s="135"/>
      <c r="B91" s="137"/>
      <c r="C91" s="232" t="s">
        <v>74</v>
      </c>
      <c r="D91" s="233"/>
      <c r="E91" s="234"/>
      <c r="F91" s="139"/>
      <c r="K91" s="140"/>
      <c r="L91" s="140"/>
    </row>
    <row r="92" spans="1:12" s="136" customFormat="1" ht="18" customHeight="1">
      <c r="A92" s="135"/>
      <c r="B92" s="137"/>
      <c r="C92" s="144" t="s">
        <v>89</v>
      </c>
      <c r="D92" s="167">
        <v>1</v>
      </c>
      <c r="E92" s="154" t="s">
        <v>0</v>
      </c>
      <c r="F92" s="139"/>
      <c r="K92" s="140"/>
      <c r="L92" s="140"/>
    </row>
    <row r="93" spans="1:12" s="136" customFormat="1" ht="18" customHeight="1" thickBot="1">
      <c r="A93" s="135"/>
      <c r="B93" s="137"/>
      <c r="C93" s="148" t="s">
        <v>90</v>
      </c>
      <c r="D93" s="166">
        <v>0.5</v>
      </c>
      <c r="E93" s="153" t="s">
        <v>0</v>
      </c>
      <c r="F93" s="139"/>
      <c r="K93" s="140"/>
      <c r="L93" s="140"/>
    </row>
    <row r="94" spans="1:12" s="136" customFormat="1" ht="18" customHeight="1" thickBot="1">
      <c r="A94" s="135"/>
      <c r="B94" s="137"/>
      <c r="C94" s="135"/>
      <c r="D94" s="156"/>
      <c r="E94" s="157"/>
      <c r="F94" s="139"/>
      <c r="K94" s="140"/>
      <c r="L94" s="140"/>
    </row>
    <row r="95" spans="1:12" s="136" customFormat="1" ht="18" customHeight="1">
      <c r="A95" s="135"/>
      <c r="B95" s="137"/>
      <c r="C95" s="232" t="s">
        <v>75</v>
      </c>
      <c r="D95" s="233"/>
      <c r="E95" s="234"/>
      <c r="F95" s="139"/>
      <c r="K95" s="140"/>
      <c r="L95" s="140"/>
    </row>
    <row r="96" spans="1:12" s="136" customFormat="1" ht="18" customHeight="1" thickBot="1">
      <c r="A96" s="135"/>
      <c r="B96" s="137"/>
      <c r="C96" s="148" t="s">
        <v>262</v>
      </c>
      <c r="D96" s="166">
        <v>11</v>
      </c>
      <c r="E96" s="143" t="s">
        <v>47</v>
      </c>
      <c r="F96" s="139"/>
      <c r="K96" s="140"/>
      <c r="L96" s="140"/>
    </row>
    <row r="97" spans="1:12" s="136" customFormat="1" ht="18" customHeight="1" thickBot="1">
      <c r="A97" s="135"/>
      <c r="B97" s="137"/>
      <c r="D97" s="140"/>
      <c r="E97" s="140"/>
      <c r="F97" s="139"/>
      <c r="K97" s="140"/>
      <c r="L97" s="140"/>
    </row>
    <row r="98" spans="1:12" s="136" customFormat="1" ht="18" customHeight="1">
      <c r="A98" s="135"/>
      <c r="B98" s="137"/>
      <c r="C98" s="232" t="s">
        <v>19</v>
      </c>
      <c r="D98" s="233"/>
      <c r="E98" s="234"/>
      <c r="F98" s="139"/>
      <c r="K98" s="140"/>
      <c r="L98" s="140"/>
    </row>
    <row r="99" spans="1:12" s="136" customFormat="1" ht="18" customHeight="1">
      <c r="A99" s="135"/>
      <c r="B99" s="137"/>
      <c r="C99" s="147" t="s">
        <v>116</v>
      </c>
      <c r="D99" s="167">
        <v>1</v>
      </c>
      <c r="E99" s="154" t="s">
        <v>0</v>
      </c>
      <c r="F99" s="139"/>
      <c r="K99" s="140"/>
      <c r="L99" s="140"/>
    </row>
    <row r="100" spans="1:12" s="136" customFormat="1" ht="18" customHeight="1">
      <c r="A100" s="135"/>
      <c r="B100" s="137"/>
      <c r="C100" s="147" t="s">
        <v>118</v>
      </c>
      <c r="D100" s="167">
        <v>15</v>
      </c>
      <c r="E100" s="145" t="s">
        <v>3</v>
      </c>
      <c r="F100" s="139"/>
      <c r="K100" s="140"/>
      <c r="L100" s="140"/>
    </row>
    <row r="101" spans="1:12" s="136" customFormat="1" ht="18" customHeight="1">
      <c r="A101" s="135"/>
      <c r="B101" s="137"/>
      <c r="C101" s="147" t="s">
        <v>117</v>
      </c>
      <c r="D101" s="167">
        <v>1</v>
      </c>
      <c r="E101" s="154" t="s">
        <v>0</v>
      </c>
      <c r="F101" s="139"/>
      <c r="K101" s="140"/>
      <c r="L101" s="140"/>
    </row>
    <row r="102" spans="1:12" s="136" customFormat="1" ht="18" customHeight="1">
      <c r="A102" s="135"/>
      <c r="B102" s="137"/>
      <c r="C102" s="147" t="s">
        <v>119</v>
      </c>
      <c r="D102" s="167">
        <v>15</v>
      </c>
      <c r="E102" s="145" t="s">
        <v>3</v>
      </c>
      <c r="F102" s="139"/>
      <c r="K102" s="140"/>
      <c r="L102" s="140"/>
    </row>
    <row r="103" spans="1:12" s="136" customFormat="1" ht="18" customHeight="1" thickBot="1">
      <c r="A103" s="135"/>
      <c r="B103" s="137"/>
      <c r="C103" s="148" t="s">
        <v>219</v>
      </c>
      <c r="D103" s="166">
        <v>370000</v>
      </c>
      <c r="E103" s="143" t="s">
        <v>70</v>
      </c>
      <c r="F103" s="139"/>
      <c r="K103" s="140"/>
      <c r="L103" s="140"/>
    </row>
    <row r="104" spans="1:12" s="136" customFormat="1" ht="18" customHeight="1" thickBot="1">
      <c r="A104" s="135"/>
      <c r="B104" s="137"/>
      <c r="D104" s="140"/>
      <c r="E104" s="140"/>
      <c r="F104" s="139"/>
      <c r="K104" s="140"/>
      <c r="L104" s="140"/>
    </row>
    <row r="105" spans="1:12" s="136" customFormat="1" ht="18" customHeight="1">
      <c r="A105" s="135"/>
      <c r="B105" s="137"/>
      <c r="C105" s="232" t="s">
        <v>21</v>
      </c>
      <c r="D105" s="233"/>
      <c r="E105" s="234"/>
      <c r="F105" s="139"/>
      <c r="K105" s="140"/>
      <c r="L105" s="140"/>
    </row>
    <row r="106" spans="1:12" s="136" customFormat="1" ht="18" customHeight="1">
      <c r="A106" s="135"/>
      <c r="B106" s="137"/>
      <c r="C106" s="144" t="s">
        <v>168</v>
      </c>
      <c r="D106" s="1">
        <v>0.75</v>
      </c>
      <c r="E106" s="154" t="s">
        <v>0</v>
      </c>
      <c r="F106" s="139"/>
      <c r="K106" s="140"/>
      <c r="L106" s="140"/>
    </row>
    <row r="107" spans="1:12" s="136" customFormat="1" ht="18" customHeight="1" thickBot="1">
      <c r="A107" s="135"/>
      <c r="B107" s="137"/>
      <c r="C107" s="148" t="s">
        <v>22</v>
      </c>
      <c r="D107" s="166">
        <v>0</v>
      </c>
      <c r="E107" s="143" t="s">
        <v>11</v>
      </c>
      <c r="F107" s="139"/>
      <c r="K107" s="140"/>
      <c r="L107" s="140"/>
    </row>
    <row r="108" spans="1:12" s="136" customFormat="1" ht="18" customHeight="1" thickBot="1">
      <c r="A108" s="135"/>
      <c r="B108" s="137"/>
      <c r="D108" s="140"/>
      <c r="E108" s="140"/>
      <c r="F108" s="139"/>
      <c r="K108" s="140"/>
      <c r="L108" s="140"/>
    </row>
    <row r="109" spans="1:12" s="136" customFormat="1" ht="18" customHeight="1">
      <c r="A109" s="135"/>
      <c r="B109" s="137"/>
      <c r="C109" s="232" t="s">
        <v>23</v>
      </c>
      <c r="D109" s="233"/>
      <c r="E109" s="234"/>
      <c r="F109" s="139"/>
      <c r="K109" s="140"/>
      <c r="L109" s="140"/>
    </row>
    <row r="110" spans="1:12" s="136" customFormat="1" ht="18" customHeight="1">
      <c r="A110" s="135"/>
      <c r="B110" s="137"/>
      <c r="C110" s="144" t="s">
        <v>159</v>
      </c>
      <c r="D110" s="167">
        <v>0</v>
      </c>
      <c r="E110" s="145" t="s">
        <v>71</v>
      </c>
      <c r="F110" s="139"/>
      <c r="K110" s="140"/>
      <c r="L110" s="140"/>
    </row>
    <row r="111" spans="1:12" s="136" customFormat="1" ht="18" customHeight="1">
      <c r="A111" s="135"/>
      <c r="B111" s="137"/>
      <c r="C111" s="144" t="s">
        <v>226</v>
      </c>
      <c r="D111" s="167">
        <v>3.5</v>
      </c>
      <c r="E111" s="145" t="s">
        <v>71</v>
      </c>
      <c r="F111" s="139"/>
      <c r="K111" s="140"/>
      <c r="L111" s="140"/>
    </row>
    <row r="112" spans="1:12" s="136" customFormat="1" ht="18" customHeight="1" thickBot="1">
      <c r="A112" s="135"/>
      <c r="B112" s="137"/>
      <c r="C112" s="148" t="s">
        <v>227</v>
      </c>
      <c r="D112" s="166">
        <v>6.6</v>
      </c>
      <c r="E112" s="143" t="s">
        <v>71</v>
      </c>
      <c r="F112" s="139"/>
      <c r="K112" s="140"/>
      <c r="L112" s="140"/>
    </row>
    <row r="113" spans="1:12" s="136" customFormat="1" ht="18" customHeight="1" thickBot="1">
      <c r="A113" s="135"/>
      <c r="B113" s="137"/>
      <c r="C113" s="135"/>
      <c r="D113" s="138"/>
      <c r="E113" s="138"/>
      <c r="F113" s="139"/>
      <c r="K113" s="140"/>
      <c r="L113" s="140"/>
    </row>
    <row r="114" spans="1:12" s="136" customFormat="1" ht="18" customHeight="1">
      <c r="A114" s="135"/>
      <c r="B114" s="137"/>
      <c r="C114" s="232" t="s">
        <v>25</v>
      </c>
      <c r="D114" s="233"/>
      <c r="E114" s="234"/>
      <c r="F114" s="139"/>
      <c r="K114" s="140"/>
      <c r="L114" s="140"/>
    </row>
    <row r="115" spans="1:12" s="136" customFormat="1" ht="18" customHeight="1" thickBot="1">
      <c r="A115" s="135"/>
      <c r="B115" s="137"/>
      <c r="C115" s="148" t="s">
        <v>148</v>
      </c>
      <c r="D115" s="166">
        <v>68</v>
      </c>
      <c r="E115" s="143" t="s">
        <v>72</v>
      </c>
      <c r="F115" s="139"/>
      <c r="K115" s="140"/>
      <c r="L115" s="140"/>
    </row>
    <row r="116" spans="1:12" s="136" customFormat="1" ht="18" customHeight="1" thickBot="1">
      <c r="A116" s="135"/>
      <c r="B116" s="137"/>
      <c r="D116" s="140"/>
      <c r="E116" s="140"/>
      <c r="F116" s="139"/>
      <c r="K116" s="140"/>
      <c r="L116" s="140"/>
    </row>
    <row r="117" spans="1:12" s="136" customFormat="1" ht="18" customHeight="1">
      <c r="A117" s="135"/>
      <c r="B117" s="137"/>
      <c r="C117" s="232" t="s">
        <v>127</v>
      </c>
      <c r="D117" s="233"/>
      <c r="E117" s="234"/>
      <c r="F117" s="139"/>
      <c r="K117" s="140"/>
      <c r="L117" s="140"/>
    </row>
    <row r="118" spans="1:12" s="136" customFormat="1" ht="18" customHeight="1">
      <c r="A118" s="135"/>
      <c r="B118" s="137"/>
      <c r="C118" s="144" t="s">
        <v>26</v>
      </c>
      <c r="D118" s="167">
        <v>1</v>
      </c>
      <c r="E118" s="154" t="s">
        <v>0</v>
      </c>
      <c r="F118" s="139"/>
      <c r="K118" s="140"/>
      <c r="L118" s="140"/>
    </row>
    <row r="119" spans="1:12" s="136" customFormat="1" ht="18" customHeight="1" thickBot="1">
      <c r="A119" s="135"/>
      <c r="B119" s="137"/>
      <c r="C119" s="148" t="s">
        <v>225</v>
      </c>
      <c r="D119" s="166">
        <v>2.56</v>
      </c>
      <c r="E119" s="153" t="s">
        <v>0</v>
      </c>
      <c r="F119" s="139"/>
      <c r="K119" s="140"/>
      <c r="L119" s="140"/>
    </row>
    <row r="120" spans="2:12" s="136" customFormat="1" ht="18" customHeight="1" thickBot="1">
      <c r="B120" s="137"/>
      <c r="F120" s="139"/>
      <c r="K120" s="140"/>
      <c r="L120" s="140"/>
    </row>
    <row r="121" spans="2:12" s="136" customFormat="1" ht="18" customHeight="1">
      <c r="B121" s="137"/>
      <c r="C121" s="141" t="s">
        <v>187</v>
      </c>
      <c r="D121" s="179"/>
      <c r="E121" s="180"/>
      <c r="F121" s="139"/>
      <c r="K121" s="140"/>
      <c r="L121" s="140"/>
    </row>
    <row r="122" spans="2:12" s="136" customFormat="1" ht="18" customHeight="1">
      <c r="B122" s="137"/>
      <c r="C122" s="147" t="s">
        <v>220</v>
      </c>
      <c r="D122" s="167">
        <v>300</v>
      </c>
      <c r="E122" s="154" t="s">
        <v>0</v>
      </c>
      <c r="F122" s="139"/>
      <c r="K122" s="140"/>
      <c r="L122" s="140"/>
    </row>
    <row r="123" spans="2:12" s="136" customFormat="1" ht="18" customHeight="1">
      <c r="B123" s="137"/>
      <c r="C123" s="147" t="s">
        <v>221</v>
      </c>
      <c r="D123" s="167">
        <v>5</v>
      </c>
      <c r="E123" s="154" t="s">
        <v>0</v>
      </c>
      <c r="F123" s="139"/>
      <c r="K123" s="140"/>
      <c r="L123" s="140"/>
    </row>
    <row r="124" spans="2:12" s="136" customFormat="1" ht="18" customHeight="1">
      <c r="B124" s="137"/>
      <c r="C124" s="147" t="s">
        <v>222</v>
      </c>
      <c r="D124" s="167">
        <v>12</v>
      </c>
      <c r="E124" s="154" t="s">
        <v>0</v>
      </c>
      <c r="F124" s="139"/>
      <c r="K124" s="140"/>
      <c r="L124" s="140"/>
    </row>
    <row r="125" spans="2:12" s="136" customFormat="1" ht="18" customHeight="1">
      <c r="B125" s="137"/>
      <c r="C125" s="147" t="s">
        <v>223</v>
      </c>
      <c r="D125" s="167">
        <v>0.02</v>
      </c>
      <c r="E125" s="154" t="s">
        <v>0</v>
      </c>
      <c r="F125" s="139"/>
      <c r="K125" s="140"/>
      <c r="L125" s="140"/>
    </row>
    <row r="126" spans="2:12" s="136" customFormat="1" ht="18" customHeight="1" thickBot="1">
      <c r="B126" s="137"/>
      <c r="C126" s="151" t="s">
        <v>188</v>
      </c>
      <c r="D126" s="166">
        <v>800</v>
      </c>
      <c r="E126" s="153" t="s">
        <v>0</v>
      </c>
      <c r="F126" s="139"/>
      <c r="K126" s="140"/>
      <c r="L126" s="140"/>
    </row>
    <row r="127" spans="2:12" s="136" customFormat="1" ht="18" customHeight="1" thickBot="1">
      <c r="B127" s="159"/>
      <c r="C127" s="160"/>
      <c r="D127" s="161"/>
      <c r="E127" s="161"/>
      <c r="F127" s="162"/>
      <c r="K127" s="140"/>
      <c r="L127" s="140"/>
    </row>
    <row r="128" spans="4:12" s="136" customFormat="1" ht="18" customHeight="1" thickTop="1">
      <c r="D128" s="140"/>
      <c r="E128" s="140"/>
      <c r="K128" s="140"/>
      <c r="L128" s="140"/>
    </row>
    <row r="129" spans="11:12" s="136" customFormat="1" ht="18" customHeight="1">
      <c r="K129" s="140"/>
      <c r="L129" s="140"/>
    </row>
    <row r="130" spans="11:12" s="136" customFormat="1" ht="18" customHeight="1">
      <c r="K130" s="140"/>
      <c r="L130" s="140"/>
    </row>
    <row r="131" spans="11:12" s="136" customFormat="1" ht="18" customHeight="1">
      <c r="K131" s="140"/>
      <c r="L131" s="140"/>
    </row>
    <row r="132" spans="11:12" s="136" customFormat="1" ht="18" customHeight="1">
      <c r="K132" s="140"/>
      <c r="L132" s="140"/>
    </row>
    <row r="133" spans="11:12" s="136" customFormat="1" ht="18" customHeight="1">
      <c r="K133" s="140"/>
      <c r="L133" s="140"/>
    </row>
    <row r="134" spans="11:12" s="136" customFormat="1" ht="18" customHeight="1">
      <c r="K134" s="140"/>
      <c r="L134" s="140"/>
    </row>
    <row r="135" spans="11:12" s="136" customFormat="1" ht="18" customHeight="1">
      <c r="K135" s="140"/>
      <c r="L135" s="140"/>
    </row>
    <row r="136" spans="11:12" s="136" customFormat="1" ht="18" customHeight="1">
      <c r="K136" s="140"/>
      <c r="L136" s="140"/>
    </row>
    <row r="137" spans="11:12" s="136" customFormat="1" ht="18" customHeight="1">
      <c r="K137" s="140"/>
      <c r="L137" s="140"/>
    </row>
    <row r="138" spans="11:12" s="136" customFormat="1" ht="18" customHeight="1">
      <c r="K138" s="140"/>
      <c r="L138" s="140"/>
    </row>
    <row r="139" spans="4:12" s="136" customFormat="1" ht="18" customHeight="1">
      <c r="D139" s="140"/>
      <c r="E139" s="140"/>
      <c r="K139" s="140"/>
      <c r="L139" s="140"/>
    </row>
    <row r="140" spans="4:12" s="136" customFormat="1" ht="18" customHeight="1">
      <c r="D140" s="140"/>
      <c r="E140" s="140"/>
      <c r="J140" s="163"/>
      <c r="K140" s="140"/>
      <c r="L140" s="140"/>
    </row>
    <row r="141" spans="4:12" s="136" customFormat="1" ht="18" customHeight="1">
      <c r="D141" s="140"/>
      <c r="E141" s="140"/>
      <c r="K141" s="140"/>
      <c r="L141" s="140"/>
    </row>
    <row r="142" spans="4:12" s="136" customFormat="1" ht="18" customHeight="1">
      <c r="D142" s="140"/>
      <c r="E142" s="140"/>
      <c r="K142" s="140"/>
      <c r="L142" s="140"/>
    </row>
    <row r="143" spans="4:12" s="136" customFormat="1" ht="18" customHeight="1">
      <c r="D143" s="140"/>
      <c r="E143" s="140"/>
      <c r="K143" s="140"/>
      <c r="L143" s="140"/>
    </row>
    <row r="144" spans="4:12" s="136" customFormat="1" ht="18" customHeight="1">
      <c r="D144" s="140"/>
      <c r="E144" s="140"/>
      <c r="K144" s="140"/>
      <c r="L144" s="140"/>
    </row>
    <row r="145" spans="4:12" s="136" customFormat="1" ht="18" customHeight="1">
      <c r="D145" s="140"/>
      <c r="E145" s="140"/>
      <c r="K145" s="140"/>
      <c r="L145" s="140"/>
    </row>
    <row r="146" spans="4:12" s="136" customFormat="1" ht="18" customHeight="1">
      <c r="D146" s="140"/>
      <c r="E146" s="140"/>
      <c r="K146" s="140"/>
      <c r="L146" s="140"/>
    </row>
    <row r="147" spans="4:12" s="136" customFormat="1" ht="18" customHeight="1">
      <c r="D147" s="140"/>
      <c r="E147" s="140"/>
      <c r="K147" s="140"/>
      <c r="L147" s="140"/>
    </row>
    <row r="148" spans="4:12" s="136" customFormat="1" ht="18" customHeight="1">
      <c r="D148" s="140"/>
      <c r="E148" s="140"/>
      <c r="K148" s="140"/>
      <c r="L148" s="140"/>
    </row>
    <row r="149" spans="4:12" s="136" customFormat="1" ht="18" customHeight="1">
      <c r="D149" s="140"/>
      <c r="E149" s="140"/>
      <c r="K149" s="140"/>
      <c r="L149" s="140"/>
    </row>
    <row r="150" spans="1:12" s="136" customFormat="1" ht="18" customHeight="1" hidden="1">
      <c r="A150" s="163" t="s">
        <v>208</v>
      </c>
      <c r="D150" s="140"/>
      <c r="E150" s="140"/>
      <c r="K150" s="140"/>
      <c r="L150" s="140"/>
    </row>
    <row r="151" spans="4:12" s="136" customFormat="1" ht="18" customHeight="1" hidden="1">
      <c r="D151" s="140"/>
      <c r="E151" s="140"/>
      <c r="K151" s="140"/>
      <c r="L151" s="140"/>
    </row>
    <row r="152" spans="3:10" ht="12.75" hidden="1">
      <c r="C152" s="190" t="s">
        <v>185</v>
      </c>
      <c r="D152" s="190" t="s">
        <v>232</v>
      </c>
      <c r="J152" s="26" t="s">
        <v>236</v>
      </c>
    </row>
    <row r="153" spans="3:10" ht="12.75" hidden="1">
      <c r="C153" s="164" t="s">
        <v>48</v>
      </c>
      <c r="D153" s="204" t="s">
        <v>260</v>
      </c>
      <c r="E153" s="3"/>
      <c r="J153" s="3" t="s">
        <v>26</v>
      </c>
    </row>
    <row r="154" spans="3:10" ht="12.75" hidden="1">
      <c r="C154" s="164" t="s">
        <v>50</v>
      </c>
      <c r="D154" s="204" t="s">
        <v>233</v>
      </c>
      <c r="E154" s="3"/>
      <c r="J154" s="3" t="s">
        <v>225</v>
      </c>
    </row>
    <row r="155" spans="3:10" ht="12.75" hidden="1">
      <c r="C155" s="164" t="s">
        <v>51</v>
      </c>
      <c r="D155" s="204" t="s">
        <v>234</v>
      </c>
      <c r="E155" s="3"/>
      <c r="J155" s="3" t="s">
        <v>237</v>
      </c>
    </row>
    <row r="156" spans="3:5" ht="12.75" hidden="1">
      <c r="C156" s="164" t="s">
        <v>52</v>
      </c>
      <c r="D156" s="204" t="s">
        <v>235</v>
      </c>
      <c r="E156" s="3"/>
    </row>
    <row r="157" spans="3:5" ht="12.75" hidden="1">
      <c r="C157" s="164" t="s">
        <v>53</v>
      </c>
      <c r="D157" s="164"/>
      <c r="E157" s="3"/>
    </row>
    <row r="158" spans="3:5" ht="12.75" hidden="1">
      <c r="C158" s="164" t="s">
        <v>54</v>
      </c>
      <c r="D158" s="164"/>
      <c r="E158" s="3"/>
    </row>
    <row r="159" spans="3:5" ht="12.75" hidden="1">
      <c r="C159" s="164" t="s">
        <v>55</v>
      </c>
      <c r="D159" s="164"/>
      <c r="E159" s="3"/>
    </row>
    <row r="160" spans="3:5" ht="12.75" hidden="1">
      <c r="C160" s="164" t="s">
        <v>56</v>
      </c>
      <c r="D160" s="164"/>
      <c r="E160" s="3"/>
    </row>
    <row r="161" spans="3:5" ht="12.75" hidden="1">
      <c r="C161" s="164" t="s">
        <v>57</v>
      </c>
      <c r="D161" s="164"/>
      <c r="E161" s="3"/>
    </row>
    <row r="162" spans="3:5" ht="12.75" hidden="1">
      <c r="C162" s="164" t="s">
        <v>58</v>
      </c>
      <c r="D162" s="164"/>
      <c r="E162" s="3"/>
    </row>
    <row r="163" spans="3:5" ht="12.75" hidden="1">
      <c r="C163" s="164" t="s">
        <v>59</v>
      </c>
      <c r="D163" s="164"/>
      <c r="E163" s="3"/>
    </row>
    <row r="164" spans="3:5" ht="12.75" hidden="1">
      <c r="C164" s="164" t="s">
        <v>203</v>
      </c>
      <c r="D164" s="164"/>
      <c r="E164" s="3"/>
    </row>
    <row r="165" spans="3:5" ht="12.75" hidden="1">
      <c r="C165" s="164" t="s">
        <v>204</v>
      </c>
      <c r="D165" s="164"/>
      <c r="E165" s="3"/>
    </row>
    <row r="166" spans="3:5" ht="12.75" hidden="1">
      <c r="C166" s="164" t="s">
        <v>205</v>
      </c>
      <c r="D166" s="164"/>
      <c r="E166" s="3"/>
    </row>
    <row r="167" spans="3:5" ht="12.75" hidden="1">
      <c r="C167" s="164" t="s">
        <v>206</v>
      </c>
      <c r="D167" s="164"/>
      <c r="E167" s="3"/>
    </row>
    <row r="168" spans="3:5" ht="12.75" hidden="1">
      <c r="C168" s="164" t="s">
        <v>207</v>
      </c>
      <c r="D168" s="164"/>
      <c r="E168" s="3"/>
    </row>
    <row r="169" spans="3:4" ht="12.75" hidden="1">
      <c r="C169" s="164" t="s">
        <v>173</v>
      </c>
      <c r="D169" s="164"/>
    </row>
    <row r="170" spans="3:4" ht="12.75" hidden="1">
      <c r="C170" s="164" t="s">
        <v>174</v>
      </c>
      <c r="D170" s="164"/>
    </row>
    <row r="171" spans="3:4" ht="12.75" hidden="1">
      <c r="C171" s="164" t="s">
        <v>175</v>
      </c>
      <c r="D171" s="164"/>
    </row>
    <row r="172" spans="4:5" ht="12.75" hidden="1">
      <c r="D172" s="3"/>
      <c r="E172" s="3"/>
    </row>
    <row r="173" spans="4:5" ht="12.75">
      <c r="D173" s="3"/>
      <c r="E173" s="3"/>
    </row>
    <row r="174" spans="4:5" ht="12.75">
      <c r="D174" s="3"/>
      <c r="E174" s="3"/>
    </row>
    <row r="175" spans="4:5" ht="12.75">
      <c r="D175" s="3"/>
      <c r="E175" s="3"/>
    </row>
    <row r="176" ht="12.75">
      <c r="D176" s="164"/>
    </row>
    <row r="177" ht="12.75">
      <c r="D177" s="164"/>
    </row>
    <row r="178" ht="12.75">
      <c r="D178" s="164"/>
    </row>
    <row r="179" spans="4:5" ht="12.75">
      <c r="D179" s="3"/>
      <c r="E179" s="3"/>
    </row>
    <row r="180" spans="4:5" ht="12.75">
      <c r="D180" s="3"/>
      <c r="E180" s="3"/>
    </row>
    <row r="181" spans="4:5" ht="12.75">
      <c r="D181" s="3"/>
      <c r="E181" s="3"/>
    </row>
    <row r="182" spans="4:5" ht="12.75">
      <c r="D182" s="3"/>
      <c r="E182" s="3"/>
    </row>
    <row r="183" ht="12.75">
      <c r="D183" s="164"/>
    </row>
    <row r="184" ht="12.75">
      <c r="D184" s="164"/>
    </row>
    <row r="185" ht="12.75">
      <c r="D185" s="164"/>
    </row>
  </sheetData>
  <sheetProtection sheet="1" objects="1" scenarios="1"/>
  <mergeCells count="20">
    <mergeCell ref="B3:C3"/>
    <mergeCell ref="C28:E28"/>
    <mergeCell ref="C17:E17"/>
    <mergeCell ref="C70:E70"/>
    <mergeCell ref="C75:E75"/>
    <mergeCell ref="C21:E21"/>
    <mergeCell ref="C45:E45"/>
    <mergeCell ref="C49:E49"/>
    <mergeCell ref="C54:E54"/>
    <mergeCell ref="C59:E59"/>
    <mergeCell ref="C109:E109"/>
    <mergeCell ref="C117:E117"/>
    <mergeCell ref="C114:E114"/>
    <mergeCell ref="C98:E98"/>
    <mergeCell ref="C105:E105"/>
    <mergeCell ref="C79:E79"/>
    <mergeCell ref="C86:E86"/>
    <mergeCell ref="C91:E91"/>
    <mergeCell ref="C95:E95"/>
    <mergeCell ref="C83:E83"/>
  </mergeCells>
  <hyperlinks>
    <hyperlink ref="B3" r:id="rId1" tooltip="Download report from www.epa-nr.org" display="Click here to download the report from www.epa-nr.org"/>
  </hyperlinks>
  <printOptions/>
  <pageMargins left="0.75" right="0.75" top="1" bottom="1" header="0.5" footer="0.5"/>
  <pageSetup horizontalDpi="600" verticalDpi="600" orientation="portrait" paperSize="9" r:id="rId5"/>
  <drawing r:id="rId4"/>
  <legacyDrawing r:id="rId3"/>
</worksheet>
</file>

<file path=xl/worksheets/sheet20.xml><?xml version="1.0" encoding="utf-8"?>
<worksheet xmlns="http://schemas.openxmlformats.org/spreadsheetml/2006/main" xmlns:r="http://schemas.openxmlformats.org/officeDocument/2006/relationships">
  <sheetPr codeName="Sheet22"/>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58</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6.2</v>
      </c>
      <c r="F5" s="170">
        <v>7.1</v>
      </c>
      <c r="G5" s="170">
        <v>9.7</v>
      </c>
      <c r="H5" s="170">
        <v>12.3</v>
      </c>
      <c r="I5" s="170">
        <v>16.5</v>
      </c>
      <c r="J5" s="170">
        <v>20.6</v>
      </c>
      <c r="K5" s="170">
        <v>23.7</v>
      </c>
      <c r="L5" s="170">
        <v>23.3</v>
      </c>
      <c r="M5" s="170">
        <v>19.6</v>
      </c>
      <c r="N5" s="170">
        <v>15.4</v>
      </c>
      <c r="O5" s="170">
        <v>11.5</v>
      </c>
      <c r="P5" s="171">
        <v>7.6</v>
      </c>
    </row>
    <row r="6" spans="3:16" s="13" customFormat="1" ht="14.25">
      <c r="C6" s="14" t="s">
        <v>15</v>
      </c>
      <c r="D6" s="15" t="s">
        <v>49</v>
      </c>
      <c r="E6" s="172">
        <v>55</v>
      </c>
      <c r="F6" s="173">
        <v>68.61111111111111</v>
      </c>
      <c r="G6" s="173">
        <v>102.22222222222221</v>
      </c>
      <c r="H6" s="173">
        <v>134.16666666666666</v>
      </c>
      <c r="I6" s="173">
        <v>150.83333333333334</v>
      </c>
      <c r="J6" s="173">
        <v>166.11111111111111</v>
      </c>
      <c r="K6" s="173">
        <v>168.05555555555554</v>
      </c>
      <c r="L6" s="173">
        <v>153.33333333333334</v>
      </c>
      <c r="M6" s="173">
        <v>128.88888888888889</v>
      </c>
      <c r="N6" s="173">
        <v>92.5</v>
      </c>
      <c r="O6" s="173">
        <v>62.77777777777778</v>
      </c>
      <c r="P6" s="174">
        <v>45</v>
      </c>
    </row>
    <row r="7" spans="3:16" s="13" customFormat="1" ht="14.25">
      <c r="C7" s="14" t="s">
        <v>16</v>
      </c>
      <c r="D7" s="15" t="s">
        <v>49</v>
      </c>
      <c r="E7" s="172">
        <v>126.38888888888889</v>
      </c>
      <c r="F7" s="173">
        <v>140.55555555555554</v>
      </c>
      <c r="G7" s="173">
        <v>151.11111111111111</v>
      </c>
      <c r="H7" s="173">
        <v>140.55555555555554</v>
      </c>
      <c r="I7" s="173">
        <v>125.83333333333333</v>
      </c>
      <c r="J7" s="173">
        <v>115.83333333333333</v>
      </c>
      <c r="K7" s="173">
        <v>124.44444444444444</v>
      </c>
      <c r="L7" s="173">
        <v>139.72222222222223</v>
      </c>
      <c r="M7" s="173">
        <v>163.61111111111111</v>
      </c>
      <c r="N7" s="173">
        <v>173.61111111111111</v>
      </c>
      <c r="O7" s="173">
        <v>133.88888888888889</v>
      </c>
      <c r="P7" s="174">
        <v>121.94444444444444</v>
      </c>
    </row>
    <row r="8" spans="3:16" s="13" customFormat="1" ht="14.25">
      <c r="C8" s="14" t="s">
        <v>17</v>
      </c>
      <c r="D8" s="15" t="s">
        <v>49</v>
      </c>
      <c r="E8" s="172">
        <v>55.83333333333333</v>
      </c>
      <c r="F8" s="173">
        <v>72.77777777777777</v>
      </c>
      <c r="G8" s="173">
        <v>107.5</v>
      </c>
      <c r="H8" s="173">
        <v>131.94444444444443</v>
      </c>
      <c r="I8" s="173">
        <v>156.66666666666666</v>
      </c>
      <c r="J8" s="173">
        <v>162.22222222222223</v>
      </c>
      <c r="K8" s="173">
        <v>178.05555555555554</v>
      </c>
      <c r="L8" s="173">
        <v>157.5</v>
      </c>
      <c r="M8" s="173">
        <v>130.55555555555554</v>
      </c>
      <c r="N8" s="173">
        <v>98.05555555555556</v>
      </c>
      <c r="O8" s="173">
        <v>55</v>
      </c>
      <c r="P8" s="174">
        <v>47.77777777777778</v>
      </c>
    </row>
    <row r="9" spans="3:16" s="13" customFormat="1" ht="14.25">
      <c r="C9" s="14" t="s">
        <v>18</v>
      </c>
      <c r="D9" s="15" t="s">
        <v>49</v>
      </c>
      <c r="E9" s="172">
        <v>27.22222222222222</v>
      </c>
      <c r="F9" s="173">
        <v>33.61111111111111</v>
      </c>
      <c r="G9" s="173">
        <v>46.388888888888886</v>
      </c>
      <c r="H9" s="173">
        <v>61.388888888888886</v>
      </c>
      <c r="I9" s="173">
        <v>80.55555555555556</v>
      </c>
      <c r="J9" s="173">
        <v>91.38888888888889</v>
      </c>
      <c r="K9" s="173">
        <v>89.44444444444444</v>
      </c>
      <c r="L9" s="173">
        <v>66.38888888888889</v>
      </c>
      <c r="M9" s="173">
        <v>53.05555555555556</v>
      </c>
      <c r="N9" s="173">
        <v>37.77777777777778</v>
      </c>
      <c r="O9" s="173">
        <v>26.666666666666664</v>
      </c>
      <c r="P9" s="174">
        <v>21.38888888888889</v>
      </c>
    </row>
    <row r="10" spans="3:16" ht="15" thickBot="1">
      <c r="C10" s="19" t="s">
        <v>46</v>
      </c>
      <c r="D10" s="20" t="s">
        <v>49</v>
      </c>
      <c r="E10" s="175">
        <v>76.11111111111111</v>
      </c>
      <c r="F10" s="176">
        <v>108.05555555555556</v>
      </c>
      <c r="G10" s="176">
        <v>160</v>
      </c>
      <c r="H10" s="176">
        <v>213.88888888888889</v>
      </c>
      <c r="I10" s="176">
        <v>258.05555555555554</v>
      </c>
      <c r="J10" s="176">
        <v>281.1111111111111</v>
      </c>
      <c r="K10" s="176">
        <v>290</v>
      </c>
      <c r="L10" s="176">
        <v>251.94444444444443</v>
      </c>
      <c r="M10" s="176">
        <v>198.88888888888889</v>
      </c>
      <c r="N10" s="176">
        <v>138.88888888888889</v>
      </c>
      <c r="O10" s="176">
        <v>85</v>
      </c>
      <c r="P10" s="177">
        <v>65</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18"/>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59</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-4.301612903225817</v>
      </c>
      <c r="F5" s="170">
        <v>-3.9992559523809463</v>
      </c>
      <c r="G5" s="170">
        <v>-0.1987903225806462</v>
      </c>
      <c r="H5" s="170">
        <v>4.502222222222229</v>
      </c>
      <c r="I5" s="170">
        <v>10.799193548387102</v>
      </c>
      <c r="J5" s="170">
        <v>15.200416666666678</v>
      </c>
      <c r="K5" s="170">
        <v>16.40013440860217</v>
      </c>
      <c r="L5" s="170">
        <v>15.198924731182796</v>
      </c>
      <c r="M5" s="170">
        <v>10.79847222222222</v>
      </c>
      <c r="N5" s="170">
        <v>6.299462365591397</v>
      </c>
      <c r="O5" s="170">
        <v>0.7001388888888886</v>
      </c>
      <c r="P5" s="171">
        <v>-3.101344086021508</v>
      </c>
    </row>
    <row r="6" spans="3:16" s="13" customFormat="1" ht="14.25">
      <c r="C6" s="14" t="s">
        <v>15</v>
      </c>
      <c r="D6" s="15" t="s">
        <v>49</v>
      </c>
      <c r="E6" s="172">
        <v>11.288082437275985</v>
      </c>
      <c r="F6" s="173">
        <v>31.159887566137584</v>
      </c>
      <c r="G6" s="173">
        <v>59.21856332138592</v>
      </c>
      <c r="H6" s="173">
        <v>100.06944444444444</v>
      </c>
      <c r="I6" s="173">
        <v>150.9789426523298</v>
      </c>
      <c r="J6" s="173">
        <v>136.11574074074082</v>
      </c>
      <c r="K6" s="173">
        <v>136.00358422939073</v>
      </c>
      <c r="L6" s="173">
        <v>116.72080346475508</v>
      </c>
      <c r="M6" s="173">
        <v>76.26041666666661</v>
      </c>
      <c r="N6" s="173">
        <v>37.36671146953405</v>
      </c>
      <c r="O6" s="173">
        <v>16.05594135802469</v>
      </c>
      <c r="P6" s="174">
        <v>8.824298088410993</v>
      </c>
    </row>
    <row r="7" spans="3:16" s="13" customFormat="1" ht="14.25">
      <c r="C7" s="14" t="s">
        <v>16</v>
      </c>
      <c r="D7" s="15" t="s">
        <v>49</v>
      </c>
      <c r="E7" s="172">
        <v>40.34572879330944</v>
      </c>
      <c r="F7" s="173">
        <v>94.92352843915349</v>
      </c>
      <c r="G7" s="173">
        <v>120.20459976105137</v>
      </c>
      <c r="H7" s="173">
        <v>139.35455246913588</v>
      </c>
      <c r="I7" s="173">
        <v>157.92898745519705</v>
      </c>
      <c r="J7" s="173">
        <v>137.56944444444443</v>
      </c>
      <c r="K7" s="173">
        <v>142.1404569892472</v>
      </c>
      <c r="L7" s="173">
        <v>141.18092891278377</v>
      </c>
      <c r="M7" s="173">
        <v>121.29745370370351</v>
      </c>
      <c r="N7" s="173">
        <v>76.43593189964159</v>
      </c>
      <c r="O7" s="173">
        <v>56.163194444444436</v>
      </c>
      <c r="P7" s="174">
        <v>40.04816308243728</v>
      </c>
    </row>
    <row r="8" spans="3:16" s="13" customFormat="1" ht="14.25">
      <c r="C8" s="14" t="s">
        <v>17</v>
      </c>
      <c r="D8" s="15" t="s">
        <v>49</v>
      </c>
      <c r="E8" s="172">
        <v>11.545698924731184</v>
      </c>
      <c r="F8" s="173">
        <v>35.176091269841294</v>
      </c>
      <c r="G8" s="173">
        <v>67.74380227001195</v>
      </c>
      <c r="H8" s="173">
        <v>100.4957561728395</v>
      </c>
      <c r="I8" s="173">
        <v>152.682945041816</v>
      </c>
      <c r="J8" s="173">
        <v>145.38310185185185</v>
      </c>
      <c r="K8" s="173">
        <v>147.93309438470735</v>
      </c>
      <c r="L8" s="173">
        <v>112.15427120669048</v>
      </c>
      <c r="M8" s="173">
        <v>76.18557098765433</v>
      </c>
      <c r="N8" s="173">
        <v>32.16584528076465</v>
      </c>
      <c r="O8" s="173">
        <v>15.834876543209864</v>
      </c>
      <c r="P8" s="174">
        <v>8.329599761051373</v>
      </c>
    </row>
    <row r="9" spans="3:16" s="13" customFormat="1" ht="14.25">
      <c r="C9" s="14" t="s">
        <v>18</v>
      </c>
      <c r="D9" s="15" t="s">
        <v>49</v>
      </c>
      <c r="E9" s="172">
        <v>5.500672043010755</v>
      </c>
      <c r="F9" s="173">
        <v>13.284556878306878</v>
      </c>
      <c r="G9" s="173">
        <v>27.2614247311828</v>
      </c>
      <c r="H9" s="173">
        <v>44.07793209876543</v>
      </c>
      <c r="I9" s="173">
        <v>77.3215352449224</v>
      </c>
      <c r="J9" s="173">
        <v>88.52816358024691</v>
      </c>
      <c r="K9" s="173">
        <v>81.45870669056151</v>
      </c>
      <c r="L9" s="173">
        <v>56.238425925925945</v>
      </c>
      <c r="M9" s="173">
        <v>32.12885802469133</v>
      </c>
      <c r="N9" s="173">
        <v>16.792488052568718</v>
      </c>
      <c r="O9" s="173">
        <v>7.299382716049383</v>
      </c>
      <c r="P9" s="174">
        <v>3.9202508960573477</v>
      </c>
    </row>
    <row r="10" spans="3:16" ht="15" thickBot="1">
      <c r="C10" s="19" t="s">
        <v>46</v>
      </c>
      <c r="D10" s="20" t="s">
        <v>49</v>
      </c>
      <c r="E10" s="175">
        <v>13.982601553166061</v>
      </c>
      <c r="F10" s="176">
        <v>40.489417989418</v>
      </c>
      <c r="G10" s="176">
        <v>87.54106929510155</v>
      </c>
      <c r="H10" s="176">
        <v>145.73842592592575</v>
      </c>
      <c r="I10" s="176">
        <v>228.43301971326167</v>
      </c>
      <c r="J10" s="176">
        <v>228.91280864197535</v>
      </c>
      <c r="K10" s="176">
        <v>223.95049283154125</v>
      </c>
      <c r="L10" s="176">
        <v>172.24649044205498</v>
      </c>
      <c r="M10" s="176">
        <v>106.02160493827166</v>
      </c>
      <c r="N10" s="176">
        <v>48.11305256869774</v>
      </c>
      <c r="O10" s="176">
        <v>20.203317901234577</v>
      </c>
      <c r="P10" s="177">
        <v>9.748357228195937</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25"/>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203</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-2.400940860215051</v>
      </c>
      <c r="F5" s="170">
        <v>-0.09747023809523928</v>
      </c>
      <c r="G5" s="170">
        <v>4.822983870967746</v>
      </c>
      <c r="H5" s="170">
        <v>11.297361111111103</v>
      </c>
      <c r="I5" s="170">
        <v>16.702688172043025</v>
      </c>
      <c r="J5" s="170">
        <v>20.199027777777776</v>
      </c>
      <c r="K5" s="170">
        <v>22.000268817204322</v>
      </c>
      <c r="L5" s="170">
        <v>21.199327956989258</v>
      </c>
      <c r="M5" s="170">
        <v>16.9011111111111</v>
      </c>
      <c r="N5" s="170">
        <v>10.798790322580633</v>
      </c>
      <c r="O5" s="170">
        <v>5.195694444444443</v>
      </c>
      <c r="P5" s="171">
        <v>0.203494623655912</v>
      </c>
    </row>
    <row r="6" spans="3:16" s="13" customFormat="1" ht="14.25">
      <c r="C6" s="14" t="s">
        <v>15</v>
      </c>
      <c r="D6" s="15" t="s">
        <v>49</v>
      </c>
      <c r="E6" s="172">
        <v>36.20893070489846</v>
      </c>
      <c r="F6" s="173">
        <v>51.5873015873016</v>
      </c>
      <c r="G6" s="173">
        <v>71.38963560334528</v>
      </c>
      <c r="H6" s="173">
        <v>112.58024691358023</v>
      </c>
      <c r="I6" s="173">
        <v>127.86813022700123</v>
      </c>
      <c r="J6" s="173">
        <v>152.99768518518502</v>
      </c>
      <c r="K6" s="173">
        <v>150.577583632019</v>
      </c>
      <c r="L6" s="173">
        <v>132.16845878136198</v>
      </c>
      <c r="M6" s="173">
        <v>106.96527777777783</v>
      </c>
      <c r="N6" s="173">
        <v>71.59647550776583</v>
      </c>
      <c r="O6" s="173">
        <v>37.08680555555558</v>
      </c>
      <c r="P6" s="174">
        <v>24.076314217443258</v>
      </c>
    </row>
    <row r="7" spans="3:16" s="13" customFormat="1" ht="14.25">
      <c r="C7" s="14" t="s">
        <v>16</v>
      </c>
      <c r="D7" s="15" t="s">
        <v>49</v>
      </c>
      <c r="E7" s="172">
        <v>91.31272401433694</v>
      </c>
      <c r="F7" s="173">
        <v>99.2939814814815</v>
      </c>
      <c r="G7" s="173">
        <v>108.08131720430097</v>
      </c>
      <c r="H7" s="173">
        <v>121.27199074074073</v>
      </c>
      <c r="I7" s="173">
        <v>113.94563918757473</v>
      </c>
      <c r="J7" s="173">
        <v>114.38695987654317</v>
      </c>
      <c r="K7" s="173">
        <v>118.73021206690566</v>
      </c>
      <c r="L7" s="173">
        <v>139.42278972520893</v>
      </c>
      <c r="M7" s="173">
        <v>144.1998456790124</v>
      </c>
      <c r="N7" s="173">
        <v>129.9242084826762</v>
      </c>
      <c r="O7" s="173">
        <v>84.09375</v>
      </c>
      <c r="P7" s="174">
        <v>59.27531362007167</v>
      </c>
    </row>
    <row r="8" spans="3:16" s="13" customFormat="1" ht="14.25">
      <c r="C8" s="14" t="s">
        <v>17</v>
      </c>
      <c r="D8" s="15" t="s">
        <v>49</v>
      </c>
      <c r="E8" s="172">
        <v>40.09893966547191</v>
      </c>
      <c r="F8" s="173">
        <v>51.73983134920636</v>
      </c>
      <c r="G8" s="173">
        <v>70.71721923536437</v>
      </c>
      <c r="H8" s="173">
        <v>108.53472222222217</v>
      </c>
      <c r="I8" s="173">
        <v>127.86364994026287</v>
      </c>
      <c r="J8" s="173">
        <v>146.25540123456793</v>
      </c>
      <c r="K8" s="173">
        <v>149.3133960573478</v>
      </c>
      <c r="L8" s="173">
        <v>144.1229838709677</v>
      </c>
      <c r="M8" s="173">
        <v>107.62075617283945</v>
      </c>
      <c r="N8" s="173">
        <v>70.14598267622458</v>
      </c>
      <c r="O8" s="173">
        <v>37.65856481481484</v>
      </c>
      <c r="P8" s="174">
        <v>25.014560931899645</v>
      </c>
    </row>
    <row r="9" spans="3:16" s="13" customFormat="1" ht="14.25">
      <c r="C9" s="14" t="s">
        <v>18</v>
      </c>
      <c r="D9" s="15" t="s">
        <v>49</v>
      </c>
      <c r="E9" s="172">
        <v>18.11379928315413</v>
      </c>
      <c r="F9" s="173">
        <v>26.45419973544974</v>
      </c>
      <c r="G9" s="173">
        <v>36.36163381123058</v>
      </c>
      <c r="H9" s="173">
        <v>50.52006172839506</v>
      </c>
      <c r="I9" s="173">
        <v>73.10819892473116</v>
      </c>
      <c r="J9" s="173">
        <v>83.81597222222221</v>
      </c>
      <c r="K9" s="173">
        <v>76.82198327359615</v>
      </c>
      <c r="L9" s="173">
        <v>62.45407706093197</v>
      </c>
      <c r="M9" s="173">
        <v>44.648533950617285</v>
      </c>
      <c r="N9" s="173">
        <v>33.68652927120668</v>
      </c>
      <c r="O9" s="173">
        <v>19.68016975308642</v>
      </c>
      <c r="P9" s="174">
        <v>13.603643966547185</v>
      </c>
    </row>
    <row r="10" spans="3:16" ht="15" thickBot="1">
      <c r="C10" s="19" t="s">
        <v>46</v>
      </c>
      <c r="D10" s="20" t="s">
        <v>49</v>
      </c>
      <c r="E10" s="175">
        <v>55.00298685782559</v>
      </c>
      <c r="F10" s="176">
        <v>82.0019014550264</v>
      </c>
      <c r="G10" s="176">
        <v>119.00350955794508</v>
      </c>
      <c r="H10" s="176">
        <v>184.99922839506164</v>
      </c>
      <c r="I10" s="176">
        <v>224.99925328554346</v>
      </c>
      <c r="J10" s="176">
        <v>266.99498456790104</v>
      </c>
      <c r="K10" s="176">
        <v>263.00515232974897</v>
      </c>
      <c r="L10" s="176">
        <v>236.00097072879342</v>
      </c>
      <c r="M10" s="176">
        <v>170.0003858024691</v>
      </c>
      <c r="N10" s="176">
        <v>112.99992532855437</v>
      </c>
      <c r="O10" s="176">
        <v>58.00077160493832</v>
      </c>
      <c r="P10" s="177">
        <v>37.99731182795699</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codeName="Sheet29"/>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204</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-0.4987903225806438</v>
      </c>
      <c r="F5" s="170">
        <v>2.0052083333333313</v>
      </c>
      <c r="G5" s="170">
        <v>6.399596774193556</v>
      </c>
      <c r="H5" s="170">
        <v>11.800694444444447</v>
      </c>
      <c r="I5" s="170">
        <v>16.596236559139797</v>
      </c>
      <c r="J5" s="170">
        <v>19.701527777777798</v>
      </c>
      <c r="K5" s="170">
        <v>21.501344086021515</v>
      </c>
      <c r="L5" s="170">
        <v>20.89946236559143</v>
      </c>
      <c r="M5" s="170">
        <v>16.898472222222246</v>
      </c>
      <c r="N5" s="170">
        <v>11.502688172042998</v>
      </c>
      <c r="O5" s="170">
        <v>5.698888888888892</v>
      </c>
      <c r="P5" s="171">
        <v>1.5008064516129056</v>
      </c>
    </row>
    <row r="6" spans="3:16" s="13" customFormat="1" ht="14.25">
      <c r="C6" s="14" t="s">
        <v>15</v>
      </c>
      <c r="D6" s="15" t="s">
        <v>49</v>
      </c>
      <c r="E6" s="172">
        <v>25.592517921146975</v>
      </c>
      <c r="F6" s="173">
        <v>46.09871031746027</v>
      </c>
      <c r="G6" s="173">
        <v>72.36111111111117</v>
      </c>
      <c r="H6" s="173">
        <v>103.4413580246913</v>
      </c>
      <c r="I6" s="173">
        <v>124.24245818399052</v>
      </c>
      <c r="J6" s="173">
        <v>132.0250771604937</v>
      </c>
      <c r="K6" s="173">
        <v>137.6355286738352</v>
      </c>
      <c r="L6" s="173">
        <v>127.3454301075268</v>
      </c>
      <c r="M6" s="173">
        <v>95.3815586419753</v>
      </c>
      <c r="N6" s="173">
        <v>61.261200716845856</v>
      </c>
      <c r="O6" s="173">
        <v>31.21103395061731</v>
      </c>
      <c r="P6" s="174">
        <v>20.686603942652336</v>
      </c>
    </row>
    <row r="7" spans="3:16" s="13" customFormat="1" ht="14.25">
      <c r="C7" s="14" t="s">
        <v>16</v>
      </c>
      <c r="D7" s="15" t="s">
        <v>49</v>
      </c>
      <c r="E7" s="172">
        <v>68.1653225806452</v>
      </c>
      <c r="F7" s="173">
        <v>86.00487764550265</v>
      </c>
      <c r="G7" s="173">
        <v>109.97573178016717</v>
      </c>
      <c r="H7" s="173">
        <v>121.31712962962955</v>
      </c>
      <c r="I7" s="173">
        <v>118.0346475507767</v>
      </c>
      <c r="J7" s="173">
        <v>113.67592592592587</v>
      </c>
      <c r="K7" s="173">
        <v>120.24492234169655</v>
      </c>
      <c r="L7" s="173">
        <v>130.23222819593778</v>
      </c>
      <c r="M7" s="173">
        <v>134.86728395061732</v>
      </c>
      <c r="N7" s="173">
        <v>115.36364994026279</v>
      </c>
      <c r="O7" s="173">
        <v>75.53356481481481</v>
      </c>
      <c r="P7" s="174">
        <v>58.17652329749106</v>
      </c>
    </row>
    <row r="8" spans="3:16" s="13" customFormat="1" ht="14.25">
      <c r="C8" s="14" t="s">
        <v>17</v>
      </c>
      <c r="D8" s="15" t="s">
        <v>49</v>
      </c>
      <c r="E8" s="172">
        <v>26.12007168458784</v>
      </c>
      <c r="F8" s="173">
        <v>45.863095238095255</v>
      </c>
      <c r="G8" s="173">
        <v>72.6560633213859</v>
      </c>
      <c r="H8" s="173">
        <v>107.2588734567902</v>
      </c>
      <c r="I8" s="173">
        <v>125.77359617682205</v>
      </c>
      <c r="J8" s="173">
        <v>132.57523148148167</v>
      </c>
      <c r="K8" s="173">
        <v>139.23312425328567</v>
      </c>
      <c r="L8" s="173">
        <v>121.54868578255683</v>
      </c>
      <c r="M8" s="173">
        <v>95.33487654320982</v>
      </c>
      <c r="N8" s="173">
        <v>59.594907407407376</v>
      </c>
      <c r="O8" s="173">
        <v>33.30979938271606</v>
      </c>
      <c r="P8" s="174">
        <v>20.735513739546</v>
      </c>
    </row>
    <row r="9" spans="3:16" s="13" customFormat="1" ht="14.25">
      <c r="C9" s="14" t="s">
        <v>18</v>
      </c>
      <c r="D9" s="15" t="s">
        <v>49</v>
      </c>
      <c r="E9" s="172">
        <v>13.870221027479086</v>
      </c>
      <c r="F9" s="173">
        <v>23.29489087301587</v>
      </c>
      <c r="G9" s="173">
        <v>36.447879330943834</v>
      </c>
      <c r="H9" s="173">
        <v>52.40547839506173</v>
      </c>
      <c r="I9" s="173">
        <v>72.01575567502982</v>
      </c>
      <c r="J9" s="173">
        <v>79.83796296296288</v>
      </c>
      <c r="K9" s="173">
        <v>75.55107526881723</v>
      </c>
      <c r="L9" s="173">
        <v>60.25836320191156</v>
      </c>
      <c r="M9" s="173">
        <v>43.195987654321016</v>
      </c>
      <c r="N9" s="173">
        <v>29.703554360812422</v>
      </c>
      <c r="O9" s="173">
        <v>17.353009259259252</v>
      </c>
      <c r="P9" s="174">
        <v>11.065188172043007</v>
      </c>
    </row>
    <row r="10" spans="3:16" ht="15" thickBot="1">
      <c r="C10" s="19" t="s">
        <v>46</v>
      </c>
      <c r="D10" s="20" t="s">
        <v>49</v>
      </c>
      <c r="E10" s="175">
        <v>40.095952807646356</v>
      </c>
      <c r="F10" s="176">
        <v>69.13401124338621</v>
      </c>
      <c r="G10" s="176">
        <v>116.11260454002385</v>
      </c>
      <c r="H10" s="176">
        <v>177.08140432098767</v>
      </c>
      <c r="I10" s="176">
        <v>218.08915770609298</v>
      </c>
      <c r="J10" s="176">
        <v>239.1512345679011</v>
      </c>
      <c r="K10" s="176">
        <v>246.15442054958174</v>
      </c>
      <c r="L10" s="176">
        <v>207.07997311827955</v>
      </c>
      <c r="M10" s="176">
        <v>152.1427469135803</v>
      </c>
      <c r="N10" s="176">
        <v>95.15643667861416</v>
      </c>
      <c r="O10" s="176">
        <v>49.11535493827161</v>
      </c>
      <c r="P10" s="177">
        <v>31.068921744324957</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30"/>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205</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5.0995967741935555</v>
      </c>
      <c r="F5" s="170">
        <v>5.00208333333333</v>
      </c>
      <c r="G5" s="170">
        <v>6.20524193548387</v>
      </c>
      <c r="H5" s="170">
        <v>7.801527777777778</v>
      </c>
      <c r="I5" s="170">
        <v>10.399462365591395</v>
      </c>
      <c r="J5" s="170">
        <v>13.3</v>
      </c>
      <c r="K5" s="170">
        <v>15.000940860215053</v>
      </c>
      <c r="L5" s="170">
        <v>14.70201612903227</v>
      </c>
      <c r="M5" s="170">
        <v>13.000833333333341</v>
      </c>
      <c r="N5" s="170">
        <v>10.601344086021507</v>
      </c>
      <c r="O5" s="170">
        <v>7.096527777777778</v>
      </c>
      <c r="P5" s="171">
        <v>6.00040322580645</v>
      </c>
    </row>
    <row r="6" spans="3:16" s="13" customFormat="1" ht="14.25">
      <c r="C6" s="14" t="s">
        <v>15</v>
      </c>
      <c r="D6" s="15" t="s">
        <v>49</v>
      </c>
      <c r="E6" s="172">
        <v>20.116860812425344</v>
      </c>
      <c r="F6" s="173">
        <v>29.446097883597897</v>
      </c>
      <c r="G6" s="173">
        <v>61.78987455197132</v>
      </c>
      <c r="H6" s="173">
        <v>92.47299382716045</v>
      </c>
      <c r="I6" s="173">
        <v>117.93981481481485</v>
      </c>
      <c r="J6" s="173">
        <v>117.67206790123453</v>
      </c>
      <c r="K6" s="173">
        <v>113.52747909199523</v>
      </c>
      <c r="L6" s="173">
        <v>89.99962664277182</v>
      </c>
      <c r="M6" s="173">
        <v>72.8946759259259</v>
      </c>
      <c r="N6" s="173">
        <v>42.40031362007168</v>
      </c>
      <c r="O6" s="173">
        <v>22.048996913580247</v>
      </c>
      <c r="P6" s="174">
        <v>14.606854838709669</v>
      </c>
    </row>
    <row r="7" spans="3:16" s="13" customFormat="1" ht="14.25">
      <c r="C7" s="14" t="s">
        <v>16</v>
      </c>
      <c r="D7" s="15" t="s">
        <v>49</v>
      </c>
      <c r="E7" s="172">
        <v>62.113201911588995</v>
      </c>
      <c r="F7" s="173">
        <v>69.0819279100529</v>
      </c>
      <c r="G7" s="173">
        <v>102.96072281959378</v>
      </c>
      <c r="H7" s="173">
        <v>116.67824074074069</v>
      </c>
      <c r="I7" s="173">
        <v>117.36223118279567</v>
      </c>
      <c r="J7" s="173">
        <v>106.41165123456796</v>
      </c>
      <c r="K7" s="173">
        <v>111.07004181600955</v>
      </c>
      <c r="L7" s="173">
        <v>102.59669952210275</v>
      </c>
      <c r="M7" s="173">
        <v>111.76118827160491</v>
      </c>
      <c r="N7" s="173">
        <v>87.13971027479096</v>
      </c>
      <c r="O7" s="173">
        <v>64.02932098765433</v>
      </c>
      <c r="P7" s="174">
        <v>40.77471624850657</v>
      </c>
    </row>
    <row r="8" spans="3:16" s="13" customFormat="1" ht="14.25">
      <c r="C8" s="14" t="s">
        <v>17</v>
      </c>
      <c r="D8" s="15" t="s">
        <v>49</v>
      </c>
      <c r="E8" s="172">
        <v>19.352598566308256</v>
      </c>
      <c r="F8" s="173">
        <v>34.16542658730158</v>
      </c>
      <c r="G8" s="173">
        <v>60.89680406212666</v>
      </c>
      <c r="H8" s="173">
        <v>93.58796296296292</v>
      </c>
      <c r="I8" s="173">
        <v>113.41173835125457</v>
      </c>
      <c r="J8" s="173">
        <v>109.369598765432</v>
      </c>
      <c r="K8" s="173">
        <v>123.87656810035845</v>
      </c>
      <c r="L8" s="173">
        <v>95.40994623655914</v>
      </c>
      <c r="M8" s="173">
        <v>75.65007716049384</v>
      </c>
      <c r="N8" s="173">
        <v>43.99006869772998</v>
      </c>
      <c r="O8" s="173">
        <v>21.8707561728395</v>
      </c>
      <c r="P8" s="174">
        <v>12.73708183990442</v>
      </c>
    </row>
    <row r="9" spans="3:16" s="13" customFormat="1" ht="14.25">
      <c r="C9" s="14" t="s">
        <v>18</v>
      </c>
      <c r="D9" s="15" t="s">
        <v>49</v>
      </c>
      <c r="E9" s="172">
        <v>9.555704898446846</v>
      </c>
      <c r="F9" s="173">
        <v>17.113508597883595</v>
      </c>
      <c r="G9" s="173">
        <v>30.496191756272395</v>
      </c>
      <c r="H9" s="173">
        <v>44.98263888888888</v>
      </c>
      <c r="I9" s="173">
        <v>64.65501792114691</v>
      </c>
      <c r="J9" s="173">
        <v>74.36149691358025</v>
      </c>
      <c r="K9" s="173">
        <v>72.5825119474313</v>
      </c>
      <c r="L9" s="173">
        <v>53.079077060931894</v>
      </c>
      <c r="M9" s="173">
        <v>35.52777777777779</v>
      </c>
      <c r="N9" s="173">
        <v>22.926747311827995</v>
      </c>
      <c r="O9" s="173">
        <v>11.148533950617285</v>
      </c>
      <c r="P9" s="174">
        <v>7.542189366786138</v>
      </c>
    </row>
    <row r="10" spans="3:16" ht="15" thickBot="1">
      <c r="C10" s="19" t="s">
        <v>46</v>
      </c>
      <c r="D10" s="20" t="s">
        <v>49</v>
      </c>
      <c r="E10" s="175">
        <v>27.000074671445642</v>
      </c>
      <c r="F10" s="176">
        <v>48.0005787037037</v>
      </c>
      <c r="G10" s="176">
        <v>93.99865591397848</v>
      </c>
      <c r="H10" s="176">
        <v>150</v>
      </c>
      <c r="I10" s="176">
        <v>193.00067204301072</v>
      </c>
      <c r="J10" s="176">
        <v>200.00038580246928</v>
      </c>
      <c r="K10" s="176">
        <v>200.00186678614094</v>
      </c>
      <c r="L10" s="176">
        <v>153.00216547192363</v>
      </c>
      <c r="M10" s="176">
        <v>115.00308641975313</v>
      </c>
      <c r="N10" s="176">
        <v>66.00059737156512</v>
      </c>
      <c r="O10" s="176">
        <v>31.998070987654305</v>
      </c>
      <c r="P10" s="177">
        <v>19.001269414575866</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31"/>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206</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4.999059139784947</v>
      </c>
      <c r="F5" s="170">
        <v>5.001785714285715</v>
      </c>
      <c r="G5" s="170">
        <v>7.206720430107537</v>
      </c>
      <c r="H5" s="170">
        <v>8.9026388888889</v>
      </c>
      <c r="I5" s="170">
        <v>12.197849462365582</v>
      </c>
      <c r="J5" s="170">
        <v>15.60041666666668</v>
      </c>
      <c r="K5" s="170">
        <v>17.79838709677421</v>
      </c>
      <c r="L5" s="170">
        <v>17.803091397849457</v>
      </c>
      <c r="M5" s="170">
        <v>15.00361111111111</v>
      </c>
      <c r="N5" s="170">
        <v>11.097177419354844</v>
      </c>
      <c r="O5" s="170">
        <v>7.793472222222233</v>
      </c>
      <c r="P5" s="171">
        <v>6.1009408602150454</v>
      </c>
    </row>
    <row r="6" spans="3:16" s="13" customFormat="1" ht="14.25">
      <c r="C6" s="14" t="s">
        <v>15</v>
      </c>
      <c r="D6" s="15" t="s">
        <v>49</v>
      </c>
      <c r="E6" s="172">
        <v>18.284423536439665</v>
      </c>
      <c r="F6" s="173">
        <v>30.552662037037035</v>
      </c>
      <c r="G6" s="173">
        <v>56.43854540023891</v>
      </c>
      <c r="H6" s="173">
        <v>80.93364197530867</v>
      </c>
      <c r="I6" s="173">
        <v>108.17951015531668</v>
      </c>
      <c r="J6" s="173">
        <v>112.98765432098773</v>
      </c>
      <c r="K6" s="173">
        <v>110.98080943847081</v>
      </c>
      <c r="L6" s="173">
        <v>96.90710872162487</v>
      </c>
      <c r="M6" s="173">
        <v>78.07330246913584</v>
      </c>
      <c r="N6" s="173">
        <v>42.78076463560334</v>
      </c>
      <c r="O6" s="173">
        <v>26.462962962962962</v>
      </c>
      <c r="P6" s="174">
        <v>12.341696535244925</v>
      </c>
    </row>
    <row r="7" spans="3:16" s="13" customFormat="1" ht="14.25">
      <c r="C7" s="14" t="s">
        <v>16</v>
      </c>
      <c r="D7" s="15" t="s">
        <v>49</v>
      </c>
      <c r="E7" s="172">
        <v>41.57519414575867</v>
      </c>
      <c r="F7" s="173">
        <v>60.1810515873015</v>
      </c>
      <c r="G7" s="173">
        <v>85.5208333333334</v>
      </c>
      <c r="H7" s="173">
        <v>98.49691358024691</v>
      </c>
      <c r="I7" s="173">
        <v>100.70863201911594</v>
      </c>
      <c r="J7" s="173">
        <v>101.45061728395063</v>
      </c>
      <c r="K7" s="173">
        <v>99.71550179211475</v>
      </c>
      <c r="L7" s="173">
        <v>104.99178614097981</v>
      </c>
      <c r="M7" s="173">
        <v>103.8433641975308</v>
      </c>
      <c r="N7" s="173">
        <v>81.22797192353647</v>
      </c>
      <c r="O7" s="173">
        <v>58.24421296296293</v>
      </c>
      <c r="P7" s="174">
        <v>34.00276284348865</v>
      </c>
    </row>
    <row r="8" spans="3:16" s="13" customFormat="1" ht="14.25">
      <c r="C8" s="14" t="s">
        <v>17</v>
      </c>
      <c r="D8" s="15" t="s">
        <v>49</v>
      </c>
      <c r="E8" s="172">
        <v>18.284423536439665</v>
      </c>
      <c r="F8" s="173">
        <v>30.552662037037035</v>
      </c>
      <c r="G8" s="173">
        <v>56.43854540023891</v>
      </c>
      <c r="H8" s="173">
        <v>80.93364197530867</v>
      </c>
      <c r="I8" s="173">
        <v>108.17951015531668</v>
      </c>
      <c r="J8" s="173">
        <v>112.98765432098773</v>
      </c>
      <c r="K8" s="173">
        <v>110.98080943847081</v>
      </c>
      <c r="L8" s="173">
        <v>96.90710872162487</v>
      </c>
      <c r="M8" s="173">
        <v>78.07330246913584</v>
      </c>
      <c r="N8" s="173">
        <v>42.78076463560334</v>
      </c>
      <c r="O8" s="173">
        <v>26.462962962962962</v>
      </c>
      <c r="P8" s="174">
        <v>12.341696535244925</v>
      </c>
    </row>
    <row r="9" spans="3:16" s="13" customFormat="1" ht="14.25">
      <c r="C9" s="14" t="s">
        <v>18</v>
      </c>
      <c r="D9" s="15" t="s">
        <v>49</v>
      </c>
      <c r="E9" s="172">
        <v>10.39053166069295</v>
      </c>
      <c r="F9" s="173">
        <v>17.85507605820106</v>
      </c>
      <c r="G9" s="173">
        <v>31.003210872162448</v>
      </c>
      <c r="H9" s="173">
        <v>44.67631172839505</v>
      </c>
      <c r="I9" s="173">
        <v>64.72371565113501</v>
      </c>
      <c r="J9" s="173">
        <v>74.94020061728392</v>
      </c>
      <c r="K9" s="173">
        <v>69.65875149342891</v>
      </c>
      <c r="L9" s="173">
        <v>50.50963261648748</v>
      </c>
      <c r="M9" s="173">
        <v>37.82445987654321</v>
      </c>
      <c r="N9" s="173">
        <v>23.990442054958184</v>
      </c>
      <c r="O9" s="173">
        <v>13.048611111111118</v>
      </c>
      <c r="P9" s="174">
        <v>8.15822879330944</v>
      </c>
    </row>
    <row r="10" spans="3:16" ht="15" thickBot="1">
      <c r="C10" s="19" t="s">
        <v>46</v>
      </c>
      <c r="D10" s="20" t="s">
        <v>49</v>
      </c>
      <c r="E10" s="175">
        <v>25.997610513739566</v>
      </c>
      <c r="F10" s="176">
        <v>47.00148809523811</v>
      </c>
      <c r="G10" s="176">
        <v>89.00014934289113</v>
      </c>
      <c r="H10" s="176">
        <v>136.99729938271605</v>
      </c>
      <c r="I10" s="176">
        <v>179.00164277180386</v>
      </c>
      <c r="J10" s="176">
        <v>198.0003858024691</v>
      </c>
      <c r="K10" s="176">
        <v>185.99910394265225</v>
      </c>
      <c r="L10" s="176">
        <v>160.99910394265243</v>
      </c>
      <c r="M10" s="176">
        <v>116.99652777777766</v>
      </c>
      <c r="N10" s="176">
        <v>67.99619175627234</v>
      </c>
      <c r="O10" s="176">
        <v>34.997685185185176</v>
      </c>
      <c r="P10" s="177">
        <v>19.9996266427718</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32"/>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210</v>
      </c>
      <c r="C2" s="3"/>
    </row>
    <row r="3" ht="13.5" thickBot="1"/>
    <row r="4" spans="3:16" ht="13.5" thickBot="1">
      <c r="C4" s="241" t="s">
        <v>207</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v>-5.9044354838709685</v>
      </c>
      <c r="F5" s="170">
        <v>-4.725892857142856</v>
      </c>
      <c r="G5" s="170">
        <v>-0.6033602150537615</v>
      </c>
      <c r="H5" s="170">
        <v>5.816388888888888</v>
      </c>
      <c r="I5" s="170">
        <v>12.547983870967734</v>
      </c>
      <c r="J5" s="170">
        <v>15.859444444444438</v>
      </c>
      <c r="K5" s="170">
        <v>16.974059139784956</v>
      </c>
      <c r="L5" s="170">
        <v>16.337768817204328</v>
      </c>
      <c r="M5" s="170">
        <v>11.716944444444447</v>
      </c>
      <c r="N5" s="170">
        <v>6.770833333333339</v>
      </c>
      <c r="O5" s="170">
        <v>1.4538888888888888</v>
      </c>
      <c r="P5" s="171">
        <v>-2.8098118279569886</v>
      </c>
    </row>
    <row r="6" spans="3:16" s="13" customFormat="1" ht="14.25">
      <c r="C6" s="14" t="s">
        <v>15</v>
      </c>
      <c r="D6" s="15" t="s">
        <v>49</v>
      </c>
      <c r="E6" s="172">
        <v>16.282855436081242</v>
      </c>
      <c r="F6" s="173">
        <v>40.81390542328039</v>
      </c>
      <c r="G6" s="173">
        <v>63.46176821983274</v>
      </c>
      <c r="H6" s="173">
        <v>94.93287037037035</v>
      </c>
      <c r="I6" s="173">
        <v>131.08422939068114</v>
      </c>
      <c r="J6" s="173">
        <v>135.38966049382728</v>
      </c>
      <c r="K6" s="173">
        <v>136.15255376344084</v>
      </c>
      <c r="L6" s="173">
        <v>110.95579450418153</v>
      </c>
      <c r="M6" s="173">
        <v>65.18518518518512</v>
      </c>
      <c r="N6" s="173">
        <v>43.552120669056144</v>
      </c>
      <c r="O6" s="173">
        <v>16.71026234567903</v>
      </c>
      <c r="P6" s="174">
        <v>9.892846475507767</v>
      </c>
    </row>
    <row r="7" spans="3:16" s="13" customFormat="1" ht="14.25">
      <c r="C7" s="14" t="s">
        <v>16</v>
      </c>
      <c r="D7" s="15" t="s">
        <v>49</v>
      </c>
      <c r="E7" s="172">
        <v>46.130152329749116</v>
      </c>
      <c r="F7" s="173">
        <v>93.3440806878306</v>
      </c>
      <c r="G7" s="173">
        <v>106.73536439665476</v>
      </c>
      <c r="H7" s="173">
        <v>126.09953703703708</v>
      </c>
      <c r="I7" s="173">
        <v>136.8354241338113</v>
      </c>
      <c r="J7" s="173">
        <v>118.98958333333339</v>
      </c>
      <c r="K7" s="173">
        <v>125.98304958183988</v>
      </c>
      <c r="L7" s="173">
        <v>127.63067502986863</v>
      </c>
      <c r="M7" s="173">
        <v>96.4158950617284</v>
      </c>
      <c r="N7" s="173">
        <v>88.90382317801675</v>
      </c>
      <c r="O7" s="173">
        <v>45.69020061728397</v>
      </c>
      <c r="P7" s="174">
        <v>29.00873655913979</v>
      </c>
    </row>
    <row r="8" spans="3:16" s="13" customFormat="1" ht="14.25">
      <c r="C8" s="14" t="s">
        <v>17</v>
      </c>
      <c r="D8" s="15" t="s">
        <v>49</v>
      </c>
      <c r="E8" s="172">
        <v>15.476403823178025</v>
      </c>
      <c r="F8" s="173">
        <v>37.36028439153441</v>
      </c>
      <c r="G8" s="173">
        <v>62.262918160095616</v>
      </c>
      <c r="H8" s="173">
        <v>105.08526234567904</v>
      </c>
      <c r="I8" s="173">
        <v>133.74589307048987</v>
      </c>
      <c r="J8" s="173">
        <v>125.82831790123454</v>
      </c>
      <c r="K8" s="173">
        <v>127.2319295101554</v>
      </c>
      <c r="L8" s="173">
        <v>117.17219235364394</v>
      </c>
      <c r="M8" s="173">
        <v>66.63657407407412</v>
      </c>
      <c r="N8" s="173">
        <v>43.54838709677418</v>
      </c>
      <c r="O8" s="173">
        <v>19.007330246913593</v>
      </c>
      <c r="P8" s="174">
        <v>9.571012544802864</v>
      </c>
    </row>
    <row r="9" spans="3:16" s="13" customFormat="1" ht="14.25">
      <c r="C9" s="14" t="s">
        <v>18</v>
      </c>
      <c r="D9" s="15" t="s">
        <v>49</v>
      </c>
      <c r="E9" s="172">
        <v>8.8971027479092</v>
      </c>
      <c r="F9" s="173">
        <v>18.096891534391542</v>
      </c>
      <c r="G9" s="173">
        <v>30.651881720430104</v>
      </c>
      <c r="H9" s="173">
        <v>47.11651234567901</v>
      </c>
      <c r="I9" s="173">
        <v>71.93175029868576</v>
      </c>
      <c r="J9" s="173">
        <v>80.20756172839502</v>
      </c>
      <c r="K9" s="173">
        <v>76.05884109916366</v>
      </c>
      <c r="L9" s="173">
        <v>56.158527479091966</v>
      </c>
      <c r="M9" s="173">
        <v>34.59876543209881</v>
      </c>
      <c r="N9" s="173">
        <v>20.234468339307053</v>
      </c>
      <c r="O9" s="173">
        <v>10.015432098765428</v>
      </c>
      <c r="P9" s="174">
        <v>5.8583482676224605</v>
      </c>
    </row>
    <row r="10" spans="3:16" ht="15" thickBot="1">
      <c r="C10" s="19" t="s">
        <v>46</v>
      </c>
      <c r="D10" s="20" t="s">
        <v>49</v>
      </c>
      <c r="E10" s="175">
        <v>23.194444444444443</v>
      </c>
      <c r="F10" s="176">
        <v>53.769841269841265</v>
      </c>
      <c r="G10" s="176">
        <v>95.89269713261648</v>
      </c>
      <c r="H10" s="176">
        <v>152.875</v>
      </c>
      <c r="I10" s="176">
        <v>218.23850059737148</v>
      </c>
      <c r="J10" s="176">
        <v>220.13271604938276</v>
      </c>
      <c r="K10" s="176">
        <v>218.09998506571083</v>
      </c>
      <c r="L10" s="176">
        <v>177.33945639187564</v>
      </c>
      <c r="M10" s="176">
        <v>106.02932098765442</v>
      </c>
      <c r="N10" s="176">
        <v>61.35043309438469</v>
      </c>
      <c r="O10" s="176">
        <v>26.23881172839506</v>
      </c>
      <c r="P10" s="177">
        <v>14.069967144563915</v>
      </c>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
  <dimension ref="A2:Q20"/>
  <sheetViews>
    <sheetView workbookViewId="0" topLeftCell="A1">
      <selection activeCell="A1" sqref="A1"/>
    </sheetView>
  </sheetViews>
  <sheetFormatPr defaultColWidth="9.140625" defaultRowHeight="12.75"/>
  <cols>
    <col min="1" max="2" width="3.28125" style="3" customWidth="1"/>
    <col min="3" max="3" width="25.7109375" style="3" customWidth="1"/>
    <col min="4" max="4" width="10.7109375" style="3" customWidth="1"/>
    <col min="5" max="16" width="9.7109375" style="3" customWidth="1"/>
    <col min="17" max="17" width="3.28125" style="3" customWidth="1"/>
    <col min="18" max="16384" width="9.140625" style="3" customWidth="1"/>
  </cols>
  <sheetData>
    <row r="2" ht="12.75">
      <c r="B2" s="26" t="s">
        <v>246</v>
      </c>
    </row>
    <row r="3" ht="12.75">
      <c r="B3" s="26"/>
    </row>
    <row r="4" ht="12.75">
      <c r="B4" s="26" t="s">
        <v>245</v>
      </c>
    </row>
    <row r="5" ht="12.75">
      <c r="B5" s="26"/>
    </row>
    <row r="6" spans="1:17" s="92" customFormat="1" ht="13.5" thickBot="1">
      <c r="A6" s="28"/>
      <c r="B6" s="126"/>
      <c r="C6" s="126"/>
      <c r="D6" s="126"/>
      <c r="E6" s="127"/>
      <c r="F6" s="127"/>
      <c r="G6" s="127"/>
      <c r="H6" s="127"/>
      <c r="I6" s="127"/>
      <c r="J6" s="127"/>
      <c r="K6" s="127"/>
      <c r="L6" s="127"/>
      <c r="M6" s="127"/>
      <c r="N6" s="127"/>
      <c r="O6" s="127"/>
      <c r="P6" s="127"/>
      <c r="Q6" s="126"/>
    </row>
    <row r="7" spans="2:17" s="92" customFormat="1" ht="15" thickTop="1">
      <c r="B7" s="45" t="s">
        <v>194</v>
      </c>
      <c r="C7" s="28"/>
      <c r="D7" s="28"/>
      <c r="E7" s="109"/>
      <c r="F7" s="109"/>
      <c r="G7" s="109"/>
      <c r="H7" s="109"/>
      <c r="I7" s="109"/>
      <c r="J7" s="109"/>
      <c r="K7" s="109"/>
      <c r="L7" s="109"/>
      <c r="M7" s="109"/>
      <c r="N7" s="109"/>
      <c r="O7" s="109"/>
      <c r="P7" s="109"/>
      <c r="Q7" s="91"/>
    </row>
    <row r="8" spans="2:17" s="92" customFormat="1" ht="13.5" thickBot="1">
      <c r="B8" s="86"/>
      <c r="C8" s="28"/>
      <c r="D8" s="28"/>
      <c r="E8" s="109"/>
      <c r="F8" s="109"/>
      <c r="G8" s="109"/>
      <c r="H8" s="109"/>
      <c r="I8" s="109"/>
      <c r="J8" s="109"/>
      <c r="K8" s="109"/>
      <c r="L8" s="109"/>
      <c r="M8" s="109"/>
      <c r="N8" s="109"/>
      <c r="O8" s="109"/>
      <c r="P8" s="109"/>
      <c r="Q8" s="91"/>
    </row>
    <row r="9" spans="2:17" s="92" customFormat="1" ht="12.75">
      <c r="B9" s="86"/>
      <c r="C9" s="181" t="s">
        <v>189</v>
      </c>
      <c r="D9" s="182"/>
      <c r="E9" s="183"/>
      <c r="F9" s="183"/>
      <c r="G9" s="183"/>
      <c r="H9" s="183"/>
      <c r="I9" s="183"/>
      <c r="J9" s="183"/>
      <c r="K9" s="183"/>
      <c r="L9" s="183"/>
      <c r="M9" s="183"/>
      <c r="N9" s="183"/>
      <c r="O9" s="183"/>
      <c r="P9" s="184"/>
      <c r="Q9" s="91"/>
    </row>
    <row r="10" spans="2:17" s="92" customFormat="1" ht="15.75">
      <c r="B10" s="86"/>
      <c r="C10" s="46" t="s">
        <v>190</v>
      </c>
      <c r="D10" s="28" t="s">
        <v>49</v>
      </c>
      <c r="E10" s="109">
        <f>AVERAGE('BE - Brussels'!E$6:E$9)</f>
        <v>22.665583930704905</v>
      </c>
      <c r="F10" s="109">
        <f>AVERAGE('BE - Brussels'!F$6:F$9)</f>
        <v>40.903811177248684</v>
      </c>
      <c r="G10" s="109">
        <f>AVERAGE('BE - Brussels'!G$6:G$9)</f>
        <v>58.305798237753905</v>
      </c>
      <c r="H10" s="109">
        <f>AVERAGE('BE - Brussels'!H$6:H$9)</f>
        <v>79.36930941358025</v>
      </c>
      <c r="I10" s="109">
        <f>AVERAGE('BE - Brussels'!I$6:I$9)</f>
        <v>99.25272550776583</v>
      </c>
      <c r="J10" s="109">
        <f>AVERAGE('BE - Brussels'!J$6:J$9)</f>
        <v>97.91830632716051</v>
      </c>
      <c r="K10" s="109">
        <f>AVERAGE('BE - Brussels'!K$6:K$9)</f>
        <v>98.17484318996412</v>
      </c>
      <c r="L10" s="109">
        <f>AVERAGE('BE - Brussels'!L$6:L$9)</f>
        <v>89.53134333930699</v>
      </c>
      <c r="M10" s="109">
        <f>AVERAGE('BE - Brussels'!M$6:M$9)</f>
        <v>70.20032793209879</v>
      </c>
      <c r="N10" s="109">
        <f>AVERAGE('BE - Brussels'!N$6:N$9)</f>
        <v>51.42202434289128</v>
      </c>
      <c r="O10" s="109">
        <f>AVERAGE('BE - Brussels'!O$6:O$9)</f>
        <v>27.14891975308642</v>
      </c>
      <c r="P10" s="47">
        <f>AVERAGE('BE - Brussels'!P$6:P$9)</f>
        <v>19.146878733572294</v>
      </c>
      <c r="Q10" s="91"/>
    </row>
    <row r="11" spans="2:17" s="92" customFormat="1" ht="15.75">
      <c r="B11" s="86"/>
      <c r="C11" s="46" t="s">
        <v>121</v>
      </c>
      <c r="D11" s="114" t="s">
        <v>0</v>
      </c>
      <c r="E11" s="109">
        <f>CSI_a1-CSI_a2*(Tset_heating-'BE - Brussels'!E$5)</f>
        <v>217.4805107526882</v>
      </c>
      <c r="F11" s="109">
        <f>CSI_a1-CSI_a2*(Tset_heating-'BE - Brussels'!F$5)</f>
        <v>221.0215773809524</v>
      </c>
      <c r="G11" s="109">
        <f>CSI_a1-CSI_a2*(Tset_heating-'BE - Brussels'!G$5)</f>
        <v>233.53561827956992</v>
      </c>
      <c r="H11" s="109">
        <f>CSI_a1-CSI_a2*(Tset_heating-'BE - Brussels'!H$5)</f>
        <v>248.50416666666666</v>
      </c>
      <c r="I11" s="109">
        <f>CSI_a1-CSI_a2*(Tset_heating-'BE - Brussels'!I$5)</f>
        <v>268.5067204301076</v>
      </c>
      <c r="J11" s="109">
        <f>CSI_a1-CSI_a2*(Tset_heating-'BE - Brussels'!J$5)</f>
        <v>282.52013888888894</v>
      </c>
      <c r="K11" s="109">
        <f>CSI_a1-CSI_a2*(Tset_heating-'BE - Brussels'!K$5)</f>
        <v>291.0181451612903</v>
      </c>
      <c r="L11" s="109">
        <f>CSI_a1-CSI_a2*(Tset_heating-'BE - Brussels'!L$5)</f>
        <v>290.00067204301087</v>
      </c>
      <c r="M11" s="109">
        <f>CSI_a1-CSI_a2*(Tset_heating-'BE - Brussels'!M$5)</f>
        <v>276.99097222222224</v>
      </c>
      <c r="N11" s="109">
        <f>CSI_a1-CSI_a2*(Tset_heating-'BE - Brussels'!N$5)</f>
        <v>257.00604838709677</v>
      </c>
      <c r="O11" s="109">
        <f>CSI_a1-CSI_a2*(Tset_heating-'BE - Brussels'!O$5)</f>
        <v>235.01388888888889</v>
      </c>
      <c r="P11" s="47">
        <f>CSI_a1-CSI_a2*(Tset_heating-'BE - Brussels'!P$5)</f>
        <v>221.99798387096774</v>
      </c>
      <c r="Q11" s="91"/>
    </row>
    <row r="12" spans="2:17" s="92" customFormat="1" ht="15.75">
      <c r="B12" s="86"/>
      <c r="C12" s="46" t="s">
        <v>192</v>
      </c>
      <c r="D12" s="114" t="s">
        <v>0</v>
      </c>
      <c r="E12" s="109">
        <f>CSI_b1-CSI_b2*E$10</f>
        <v>11.546688321385902</v>
      </c>
      <c r="F12" s="109">
        <f aca="true" t="shared" si="0" ref="F12:P12">CSI_b1-CSI_b2*F$10</f>
        <v>11.181923776455026</v>
      </c>
      <c r="G12" s="109">
        <f t="shared" si="0"/>
        <v>10.833884035244921</v>
      </c>
      <c r="H12" s="109">
        <f t="shared" si="0"/>
        <v>10.412613811728395</v>
      </c>
      <c r="I12" s="109">
        <f t="shared" si="0"/>
        <v>10.014945489844683</v>
      </c>
      <c r="J12" s="109">
        <f t="shared" si="0"/>
        <v>10.04163387345679</v>
      </c>
      <c r="K12" s="109">
        <f t="shared" si="0"/>
        <v>10.036503136200718</v>
      </c>
      <c r="L12" s="109">
        <f t="shared" si="0"/>
        <v>10.20937313321386</v>
      </c>
      <c r="M12" s="109">
        <f t="shared" si="0"/>
        <v>10.595993441358024</v>
      </c>
      <c r="N12" s="109">
        <f t="shared" si="0"/>
        <v>10.971559513142175</v>
      </c>
      <c r="O12" s="109">
        <f t="shared" si="0"/>
        <v>11.457021604938271</v>
      </c>
      <c r="P12" s="47">
        <f t="shared" si="0"/>
        <v>11.617062425328553</v>
      </c>
      <c r="Q12" s="91"/>
    </row>
    <row r="13" spans="2:17" s="92" customFormat="1" ht="15.75">
      <c r="B13" s="86"/>
      <c r="C13" s="46" t="s">
        <v>193</v>
      </c>
      <c r="D13" s="114" t="s">
        <v>0</v>
      </c>
      <c r="E13" s="109">
        <f aca="true" t="shared" si="1" ref="E13:P13">CSI_c</f>
        <v>800</v>
      </c>
      <c r="F13" s="109">
        <f t="shared" si="1"/>
        <v>800</v>
      </c>
      <c r="G13" s="109">
        <f t="shared" si="1"/>
        <v>800</v>
      </c>
      <c r="H13" s="109">
        <f t="shared" si="1"/>
        <v>800</v>
      </c>
      <c r="I13" s="109">
        <f t="shared" si="1"/>
        <v>800</v>
      </c>
      <c r="J13" s="109">
        <f t="shared" si="1"/>
        <v>800</v>
      </c>
      <c r="K13" s="109">
        <f t="shared" si="1"/>
        <v>800</v>
      </c>
      <c r="L13" s="109">
        <f t="shared" si="1"/>
        <v>800</v>
      </c>
      <c r="M13" s="109">
        <f t="shared" si="1"/>
        <v>800</v>
      </c>
      <c r="N13" s="109">
        <f t="shared" si="1"/>
        <v>800</v>
      </c>
      <c r="O13" s="109">
        <f t="shared" si="1"/>
        <v>800</v>
      </c>
      <c r="P13" s="47">
        <f t="shared" si="1"/>
        <v>800</v>
      </c>
      <c r="Q13" s="91"/>
    </row>
    <row r="14" spans="2:17" s="92" customFormat="1" ht="16.5" thickBot="1">
      <c r="B14" s="86"/>
      <c r="C14" s="188" t="s">
        <v>191</v>
      </c>
      <c r="D14" s="50" t="s">
        <v>100</v>
      </c>
      <c r="E14" s="185">
        <f>+MAX(0,E$11*(Tset_heating-'BE - Brussels'!E$5)-E$12*E$10-E$13)</f>
        <v>2527.563700441205</v>
      </c>
      <c r="F14" s="185">
        <f>+MAX(0,F$11*(Tset_heating-'BE - Brussels'!F$5)-F$12*F$10-F$13)</f>
        <v>2233.803810513775</v>
      </c>
      <c r="G14" s="185">
        <f>+MAX(0,G$11*(Tset_heating-'BE - Brussels'!G$5)-G$12*G$10-G$13)</f>
        <v>1672.6818390397839</v>
      </c>
      <c r="H14" s="185">
        <f>+MAX(0,H$11*(Tset_heating-'BE - Brussels'!H$5)-H$12*H$10-H$13)</f>
        <v>932.9438624339205</v>
      </c>
      <c r="I14" s="185">
        <f>+MAX(0,I$11*(Tset_heating-'BE - Brussels'!I$5)-I$12*I$10-I$13)</f>
        <v>0</v>
      </c>
      <c r="J14" s="185">
        <f>+MAX(0,J$11*(Tset_heating-'BE - Brussels'!J$5)-J$12*J$10-J$13)</f>
        <v>0</v>
      </c>
      <c r="K14" s="185">
        <f>+MAX(0,K$11*(Tset_heating-'BE - Brussels'!K$5)-K$12*K$10-K$13)</f>
        <v>0</v>
      </c>
      <c r="L14" s="185">
        <f>+MAX(0,L$11*(Tset_heating-'BE - Brussels'!L$5)-L$12*L$10-L$13)</f>
        <v>0</v>
      </c>
      <c r="M14" s="185">
        <f>+MAX(0,M$11*(Tset_heating-'BE - Brussels'!M$5)-M$12*M$10-M$13)</f>
        <v>0</v>
      </c>
      <c r="N14" s="185">
        <f>+MAX(0,N$11*(Tset_heating-'BE - Brussels'!N$5)-N$12*N$10-N$13)</f>
        <v>845.761321351383</v>
      </c>
      <c r="O14" s="185">
        <f>+MAX(0,O$11*(Tset_heating-'BE - Brussels'!O$5)-O$12*O$10-O$13)</f>
        <v>1943.4819790356842</v>
      </c>
      <c r="P14" s="51">
        <f>+MAX(0,P$11*(Tset_heating-'BE - Brussels'!P$5)-P$12*P$10-P$13)</f>
        <v>2440.8275782050687</v>
      </c>
      <c r="Q14" s="91"/>
    </row>
    <row r="15" spans="2:17" s="92" customFormat="1" ht="13.5" thickBot="1">
      <c r="B15" s="86"/>
      <c r="C15" s="186"/>
      <c r="D15" s="28"/>
      <c r="E15" s="109"/>
      <c r="F15" s="109"/>
      <c r="G15" s="109"/>
      <c r="H15" s="109"/>
      <c r="I15" s="109"/>
      <c r="J15" s="109"/>
      <c r="K15" s="109"/>
      <c r="L15" s="109"/>
      <c r="M15" s="109"/>
      <c r="N15" s="109"/>
      <c r="O15" s="109"/>
      <c r="P15" s="109"/>
      <c r="Q15" s="91"/>
    </row>
    <row r="16" spans="2:17" s="92" customFormat="1" ht="14.25">
      <c r="B16" s="86"/>
      <c r="C16" s="187" t="s">
        <v>201</v>
      </c>
      <c r="D16" s="183"/>
      <c r="E16" s="184"/>
      <c r="G16" s="109"/>
      <c r="H16" s="109"/>
      <c r="I16" s="109"/>
      <c r="J16" s="109"/>
      <c r="K16" s="109"/>
      <c r="L16" s="109"/>
      <c r="M16" s="109"/>
      <c r="N16" s="109"/>
      <c r="O16" s="109"/>
      <c r="P16" s="109"/>
      <c r="Q16" s="91"/>
    </row>
    <row r="17" spans="2:17" s="92" customFormat="1" ht="16.5" thickBot="1">
      <c r="B17" s="86"/>
      <c r="C17" s="188" t="s">
        <v>191</v>
      </c>
      <c r="D17" s="185" t="s">
        <v>100</v>
      </c>
      <c r="E17" s="51">
        <f>SUM(E14:P14)</f>
        <v>12597.06409102082</v>
      </c>
      <c r="G17" s="109"/>
      <c r="H17" s="109"/>
      <c r="I17" s="109"/>
      <c r="J17" s="109"/>
      <c r="K17" s="109"/>
      <c r="L17" s="109"/>
      <c r="M17" s="109"/>
      <c r="N17" s="109"/>
      <c r="O17" s="109"/>
      <c r="P17" s="109"/>
      <c r="Q17" s="91"/>
    </row>
    <row r="18" spans="2:17" s="92" customFormat="1" ht="13.5" thickBot="1">
      <c r="B18" s="125"/>
      <c r="C18" s="126"/>
      <c r="D18" s="126"/>
      <c r="E18" s="127"/>
      <c r="F18" s="127"/>
      <c r="G18" s="127"/>
      <c r="H18" s="127"/>
      <c r="I18" s="127"/>
      <c r="J18" s="127"/>
      <c r="K18" s="127"/>
      <c r="L18" s="127"/>
      <c r="M18" s="127"/>
      <c r="N18" s="127"/>
      <c r="O18" s="127"/>
      <c r="P18" s="127"/>
      <c r="Q18" s="128"/>
    </row>
    <row r="19" spans="5:17" s="92" customFormat="1" ht="13.5" thickTop="1">
      <c r="E19" s="129"/>
      <c r="Q19" s="129"/>
    </row>
    <row r="20" spans="5:17" ht="12.75">
      <c r="E20" s="71"/>
      <c r="Q20" s="71"/>
    </row>
  </sheetData>
  <sheetProtection sheet="1" objects="1" scenarios="1"/>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4"/>
  <dimension ref="A2:Q20"/>
  <sheetViews>
    <sheetView workbookViewId="0" topLeftCell="A1">
      <selection activeCell="A1" sqref="A1"/>
    </sheetView>
  </sheetViews>
  <sheetFormatPr defaultColWidth="9.140625" defaultRowHeight="12.75"/>
  <cols>
    <col min="1" max="2" width="3.28125" style="3" customWidth="1"/>
    <col min="3" max="3" width="25.7109375" style="3" customWidth="1"/>
    <col min="4" max="4" width="10.7109375" style="3" customWidth="1"/>
    <col min="5" max="16" width="9.7109375" style="3" customWidth="1"/>
    <col min="17" max="17" width="3.28125" style="3" customWidth="1"/>
    <col min="18" max="16384" width="9.140625" style="3" customWidth="1"/>
  </cols>
  <sheetData>
    <row r="2" ht="12.75">
      <c r="B2" s="26" t="s">
        <v>247</v>
      </c>
    </row>
    <row r="3" ht="12.75">
      <c r="B3" s="26"/>
    </row>
    <row r="4" ht="12.75">
      <c r="B4" s="26" t="s">
        <v>245</v>
      </c>
    </row>
    <row r="5" s="37" customFormat="1" ht="12.75"/>
    <row r="6" spans="1:17" s="92" customFormat="1" ht="13.5" thickBot="1">
      <c r="A6" s="28"/>
      <c r="B6" s="126"/>
      <c r="C6" s="126"/>
      <c r="D6" s="126"/>
      <c r="E6" s="127"/>
      <c r="F6" s="127"/>
      <c r="G6" s="127"/>
      <c r="H6" s="127"/>
      <c r="I6" s="127"/>
      <c r="J6" s="127"/>
      <c r="K6" s="127"/>
      <c r="L6" s="127"/>
      <c r="M6" s="127"/>
      <c r="N6" s="127"/>
      <c r="O6" s="127"/>
      <c r="P6" s="127"/>
      <c r="Q6" s="126"/>
    </row>
    <row r="7" spans="2:17" s="92" customFormat="1" ht="15" thickTop="1">
      <c r="B7" s="45" t="s">
        <v>195</v>
      </c>
      <c r="C7" s="28"/>
      <c r="D7" s="28"/>
      <c r="E7" s="109"/>
      <c r="F7" s="109"/>
      <c r="G7" s="109"/>
      <c r="H7" s="109"/>
      <c r="I7" s="109"/>
      <c r="J7" s="109"/>
      <c r="K7" s="109"/>
      <c r="L7" s="109"/>
      <c r="M7" s="109"/>
      <c r="N7" s="109"/>
      <c r="O7" s="109"/>
      <c r="P7" s="109"/>
      <c r="Q7" s="91"/>
    </row>
    <row r="8" spans="2:17" s="92" customFormat="1" ht="13.5" thickBot="1">
      <c r="B8" s="86"/>
      <c r="C8" s="28"/>
      <c r="D8" s="28"/>
      <c r="E8" s="109"/>
      <c r="F8" s="109"/>
      <c r="G8" s="109"/>
      <c r="H8" s="109"/>
      <c r="I8" s="109"/>
      <c r="J8" s="109"/>
      <c r="K8" s="109"/>
      <c r="L8" s="109"/>
      <c r="M8" s="109"/>
      <c r="N8" s="109"/>
      <c r="O8" s="109"/>
      <c r="P8" s="109"/>
      <c r="Q8" s="91"/>
    </row>
    <row r="9" spans="2:17" s="92" customFormat="1" ht="12.75">
      <c r="B9" s="86"/>
      <c r="C9" s="181" t="s">
        <v>189</v>
      </c>
      <c r="D9" s="182"/>
      <c r="E9" s="183"/>
      <c r="F9" s="183"/>
      <c r="G9" s="183"/>
      <c r="H9" s="183"/>
      <c r="I9" s="183"/>
      <c r="J9" s="183"/>
      <c r="K9" s="183"/>
      <c r="L9" s="183"/>
      <c r="M9" s="183"/>
      <c r="N9" s="183"/>
      <c r="O9" s="183"/>
      <c r="P9" s="184"/>
      <c r="Q9" s="91"/>
    </row>
    <row r="10" spans="2:17" s="92" customFormat="1" ht="15.75">
      <c r="B10" s="86"/>
      <c r="C10" s="46" t="s">
        <v>190</v>
      </c>
      <c r="D10" s="28" t="s">
        <v>49</v>
      </c>
      <c r="E10" s="109">
        <f>AVERAGE('BE - Brussels'!E$6:E$9)</f>
        <v>22.665583930704905</v>
      </c>
      <c r="F10" s="109">
        <f>AVERAGE('BE - Brussels'!F$6:F$9)</f>
        <v>40.903811177248684</v>
      </c>
      <c r="G10" s="109">
        <f>AVERAGE('BE - Brussels'!G$6:G$9)</f>
        <v>58.305798237753905</v>
      </c>
      <c r="H10" s="109">
        <f>AVERAGE('BE - Brussels'!H$6:H$9)</f>
        <v>79.36930941358025</v>
      </c>
      <c r="I10" s="109">
        <f>AVERAGE('BE - Brussels'!I$6:I$9)</f>
        <v>99.25272550776583</v>
      </c>
      <c r="J10" s="109">
        <f>AVERAGE('BE - Brussels'!J$6:J$9)</f>
        <v>97.91830632716051</v>
      </c>
      <c r="K10" s="109">
        <f>AVERAGE('BE - Brussels'!K$6:K$9)</f>
        <v>98.17484318996412</v>
      </c>
      <c r="L10" s="109">
        <f>AVERAGE('BE - Brussels'!L$6:L$9)</f>
        <v>89.53134333930699</v>
      </c>
      <c r="M10" s="109">
        <f>AVERAGE('BE - Brussels'!M$6:M$9)</f>
        <v>70.20032793209879</v>
      </c>
      <c r="N10" s="109">
        <f>AVERAGE('BE - Brussels'!N$6:N$9)</f>
        <v>51.42202434289128</v>
      </c>
      <c r="O10" s="109">
        <f>AVERAGE('BE - Brussels'!O$6:O$9)</f>
        <v>27.14891975308642</v>
      </c>
      <c r="P10" s="47">
        <f>AVERAGE('BE - Brussels'!P$6:P$9)</f>
        <v>19.146878733572294</v>
      </c>
      <c r="Q10" s="91"/>
    </row>
    <row r="11" spans="2:17" s="92" customFormat="1" ht="15.75">
      <c r="B11" s="86"/>
      <c r="C11" s="46" t="s">
        <v>144</v>
      </c>
      <c r="D11" s="114" t="s">
        <v>0</v>
      </c>
      <c r="E11" s="109">
        <f>CSI_a1-CSI_a2*(Tset_cooling-'BE - Brussels'!E$5)</f>
        <v>192.4805107526882</v>
      </c>
      <c r="F11" s="109">
        <f>CSI_a1-CSI_a2*(Tset_cooling-'BE - Brussels'!F$5)</f>
        <v>196.02157738095238</v>
      </c>
      <c r="G11" s="109">
        <f>CSI_a1-CSI_a2*(Tset_cooling-'BE - Brussels'!G$5)</f>
        <v>208.53561827956992</v>
      </c>
      <c r="H11" s="109">
        <f>CSI_a1-CSI_a2*(Tset_cooling-'BE - Brussels'!H$5)</f>
        <v>223.50416666666666</v>
      </c>
      <c r="I11" s="109">
        <f>CSI_a1-CSI_a2*(Tset_cooling-'BE - Brussels'!I$5)</f>
        <v>243.50672043010758</v>
      </c>
      <c r="J11" s="109">
        <f>CSI_a1-CSI_a2*(Tset_cooling-'BE - Brussels'!J$5)</f>
        <v>257.52013888888894</v>
      </c>
      <c r="K11" s="109">
        <f>CSI_a1-CSI_a2*(Tset_cooling-'BE - Brussels'!K$5)</f>
        <v>266.0181451612903</v>
      </c>
      <c r="L11" s="109">
        <f>CSI_a1-CSI_a2*(Tset_cooling-'BE - Brussels'!L$5)</f>
        <v>265.0006720430108</v>
      </c>
      <c r="M11" s="109">
        <f>CSI_a1-CSI_a2*(Tset_cooling-'BE - Brussels'!M$5)</f>
        <v>251.9909722222222</v>
      </c>
      <c r="N11" s="109">
        <f>CSI_a1-CSI_a2*(Tset_cooling-'BE - Brussels'!N$5)</f>
        <v>232.00604838709677</v>
      </c>
      <c r="O11" s="109">
        <f>CSI_a1-CSI_a2*(Tset_cooling-'BE - Brussels'!O$5)</f>
        <v>210.0138888888889</v>
      </c>
      <c r="P11" s="47">
        <f>CSI_a1-CSI_a2*(Tset_cooling-'BE - Brussels'!P$5)</f>
        <v>196.99798387096774</v>
      </c>
      <c r="Q11" s="91"/>
    </row>
    <row r="12" spans="2:17" s="92" customFormat="1" ht="15.75">
      <c r="B12" s="86"/>
      <c r="C12" s="46" t="s">
        <v>196</v>
      </c>
      <c r="D12" s="114" t="s">
        <v>0</v>
      </c>
      <c r="E12" s="109">
        <f>CSI_b1-CSI_b2*E$10</f>
        <v>11.546688321385902</v>
      </c>
      <c r="F12" s="109">
        <f aca="true" t="shared" si="0" ref="F12:P12">CSI_b1-CSI_b2*F$10</f>
        <v>11.181923776455026</v>
      </c>
      <c r="G12" s="109">
        <f t="shared" si="0"/>
        <v>10.833884035244921</v>
      </c>
      <c r="H12" s="109">
        <f t="shared" si="0"/>
        <v>10.412613811728395</v>
      </c>
      <c r="I12" s="109">
        <f t="shared" si="0"/>
        <v>10.014945489844683</v>
      </c>
      <c r="J12" s="109">
        <f t="shared" si="0"/>
        <v>10.04163387345679</v>
      </c>
      <c r="K12" s="109">
        <f t="shared" si="0"/>
        <v>10.036503136200718</v>
      </c>
      <c r="L12" s="109">
        <f t="shared" si="0"/>
        <v>10.20937313321386</v>
      </c>
      <c r="M12" s="109">
        <f t="shared" si="0"/>
        <v>10.595993441358024</v>
      </c>
      <c r="N12" s="109">
        <f t="shared" si="0"/>
        <v>10.971559513142175</v>
      </c>
      <c r="O12" s="109">
        <f t="shared" si="0"/>
        <v>11.457021604938271</v>
      </c>
      <c r="P12" s="47">
        <f t="shared" si="0"/>
        <v>11.617062425328553</v>
      </c>
      <c r="Q12" s="91"/>
    </row>
    <row r="13" spans="2:17" s="92" customFormat="1" ht="15.75">
      <c r="B13" s="86"/>
      <c r="C13" s="46" t="s">
        <v>197</v>
      </c>
      <c r="D13" s="114" t="s">
        <v>0</v>
      </c>
      <c r="E13" s="109">
        <f aca="true" t="shared" si="1" ref="E13:P13">CSI_c</f>
        <v>800</v>
      </c>
      <c r="F13" s="109">
        <f t="shared" si="1"/>
        <v>800</v>
      </c>
      <c r="G13" s="109">
        <f t="shared" si="1"/>
        <v>800</v>
      </c>
      <c r="H13" s="109">
        <f t="shared" si="1"/>
        <v>800</v>
      </c>
      <c r="I13" s="109">
        <f t="shared" si="1"/>
        <v>800</v>
      </c>
      <c r="J13" s="109">
        <f t="shared" si="1"/>
        <v>800</v>
      </c>
      <c r="K13" s="109">
        <f t="shared" si="1"/>
        <v>800</v>
      </c>
      <c r="L13" s="109">
        <f t="shared" si="1"/>
        <v>800</v>
      </c>
      <c r="M13" s="109">
        <f t="shared" si="1"/>
        <v>800</v>
      </c>
      <c r="N13" s="109">
        <f t="shared" si="1"/>
        <v>800</v>
      </c>
      <c r="O13" s="109">
        <f t="shared" si="1"/>
        <v>800</v>
      </c>
      <c r="P13" s="47">
        <f t="shared" si="1"/>
        <v>800</v>
      </c>
      <c r="Q13" s="91"/>
    </row>
    <row r="14" spans="2:17" s="92" customFormat="1" ht="16.5" thickBot="1">
      <c r="B14" s="86"/>
      <c r="C14" s="188" t="s">
        <v>198</v>
      </c>
      <c r="D14" s="50" t="s">
        <v>100</v>
      </c>
      <c r="E14" s="185">
        <f>+MAX(0,-1*(E$11*(Tset_cooling-'BE - Brussels'!E$5)-E$12*E$10-E$13))</f>
        <v>0</v>
      </c>
      <c r="F14" s="185">
        <f>+MAX(0,-1*(F$11*(Tset_cooling-'BE - Brussels'!F$5)-F$12*F$10-F$13))</f>
        <v>0</v>
      </c>
      <c r="G14" s="185">
        <f>+MAX(0,-1*(G$11*(Tset_cooling-'BE - Brussels'!G$5)-G$12*G$10-G$13))</f>
        <v>0</v>
      </c>
      <c r="H14" s="185">
        <f>+MAX(0,-1*(H$11*(Tset_cooling-'BE - Brussels'!H$5)-H$12*H$10-H$13))</f>
        <v>0</v>
      </c>
      <c r="I14" s="185">
        <f>+MAX(0,-1*(I$11*(Tset_cooling-'BE - Brussels'!I$5)-I$12*I$10-I$13))</f>
        <v>0</v>
      </c>
      <c r="J14" s="185">
        <f>+MAX(0,-1*(J$11*(Tset_cooling-'BE - Brussels'!J$5)-J$12*J$10-J$13))</f>
        <v>0</v>
      </c>
      <c r="K14" s="185">
        <f>+MAX(0,-1*(K$11*(Tset_cooling-'BE - Brussels'!K$5)-K$12*K$10-K$13))</f>
        <v>0</v>
      </c>
      <c r="L14" s="185">
        <f>+MAX(0,-1*(L$11*(Tset_cooling-'BE - Brussels'!L$5)-L$12*L$10-L$13))</f>
        <v>0</v>
      </c>
      <c r="M14" s="185">
        <f>+MAX(0,-1*(M$11*(Tset_cooling-'BE - Brussels'!M$5)-M$12*M$10-M$13))</f>
        <v>0</v>
      </c>
      <c r="N14" s="185">
        <f>+MAX(0,-1*(N$11*(Tset_cooling-'BE - Brussels'!N$5)-N$12*N$10-N$13))</f>
        <v>0</v>
      </c>
      <c r="O14" s="185">
        <f>+MAX(0,-1*(O$11*(Tset_cooling-'BE - Brussels'!O$5)-O$12*O$10-O$13))</f>
        <v>0</v>
      </c>
      <c r="P14" s="51">
        <f>+MAX(0,-1*(P$11*(Tset_cooling-'BE - Brussels'!P$5)-P$12*P$10-P$13))</f>
        <v>0</v>
      </c>
      <c r="Q14" s="91"/>
    </row>
    <row r="15" spans="2:17" s="92" customFormat="1" ht="13.5" thickBot="1">
      <c r="B15" s="86"/>
      <c r="C15" s="186"/>
      <c r="D15" s="28"/>
      <c r="E15" s="109"/>
      <c r="F15" s="109"/>
      <c r="G15" s="109"/>
      <c r="H15" s="109"/>
      <c r="I15" s="109"/>
      <c r="J15" s="109"/>
      <c r="K15" s="109"/>
      <c r="L15" s="109"/>
      <c r="M15" s="109"/>
      <c r="N15" s="109"/>
      <c r="O15" s="109"/>
      <c r="P15" s="109"/>
      <c r="Q15" s="91"/>
    </row>
    <row r="16" spans="2:17" s="92" customFormat="1" ht="14.25">
      <c r="B16" s="86"/>
      <c r="C16" s="187" t="s">
        <v>202</v>
      </c>
      <c r="D16" s="183"/>
      <c r="E16" s="184"/>
      <c r="G16" s="109"/>
      <c r="H16" s="109"/>
      <c r="I16" s="109"/>
      <c r="J16" s="109"/>
      <c r="K16" s="109"/>
      <c r="L16" s="109"/>
      <c r="M16" s="109"/>
      <c r="N16" s="109"/>
      <c r="O16" s="109"/>
      <c r="P16" s="109"/>
      <c r="Q16" s="91"/>
    </row>
    <row r="17" spans="2:17" s="92" customFormat="1" ht="16.5" thickBot="1">
      <c r="B17" s="86"/>
      <c r="C17" s="188" t="s">
        <v>198</v>
      </c>
      <c r="D17" s="185" t="s">
        <v>100</v>
      </c>
      <c r="E17" s="51">
        <f>SUM(E14:P14)</f>
        <v>0</v>
      </c>
      <c r="G17" s="109"/>
      <c r="H17" s="109"/>
      <c r="I17" s="109"/>
      <c r="J17" s="109"/>
      <c r="K17" s="109"/>
      <c r="L17" s="109"/>
      <c r="M17" s="109"/>
      <c r="N17" s="109"/>
      <c r="O17" s="109"/>
      <c r="P17" s="109"/>
      <c r="Q17" s="91"/>
    </row>
    <row r="18" spans="2:17" s="92" customFormat="1" ht="13.5" thickBot="1">
      <c r="B18" s="125"/>
      <c r="C18" s="126"/>
      <c r="D18" s="126"/>
      <c r="E18" s="127"/>
      <c r="F18" s="127"/>
      <c r="G18" s="127"/>
      <c r="H18" s="127"/>
      <c r="I18" s="127"/>
      <c r="J18" s="127"/>
      <c r="K18" s="127"/>
      <c r="L18" s="127"/>
      <c r="M18" s="127"/>
      <c r="N18" s="127"/>
      <c r="O18" s="127"/>
      <c r="P18" s="127"/>
      <c r="Q18" s="128"/>
    </row>
    <row r="19" spans="5:17" s="92" customFormat="1" ht="13.5" thickTop="1">
      <c r="E19" s="129"/>
      <c r="Q19" s="129"/>
    </row>
    <row r="20" spans="5:17" ht="12.75">
      <c r="E20" s="71"/>
      <c r="Q20" s="71"/>
    </row>
  </sheetData>
  <sheetProtection sheet="1" objects="1" scenario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2:R71"/>
  <sheetViews>
    <sheetView workbookViewId="0" topLeftCell="A1">
      <selection activeCell="E15" sqref="E15"/>
    </sheetView>
  </sheetViews>
  <sheetFormatPr defaultColWidth="9.140625" defaultRowHeight="12.75"/>
  <cols>
    <col min="1" max="2" width="3.28125" style="3" customWidth="1"/>
    <col min="3" max="3" width="25.7109375" style="3" customWidth="1"/>
    <col min="4" max="4" width="10.7109375" style="3" customWidth="1"/>
    <col min="5" max="16" width="9.7109375" style="3" customWidth="1"/>
    <col min="17" max="17" width="3.28125" style="3" customWidth="1"/>
    <col min="18" max="16384" width="9.140625" style="3" customWidth="1"/>
  </cols>
  <sheetData>
    <row r="1" ht="12.75"/>
    <row r="2" ht="12.75">
      <c r="B2" s="26" t="s">
        <v>228</v>
      </c>
    </row>
    <row r="3" spans="2:12" ht="12.75">
      <c r="B3" s="230" t="s">
        <v>244</v>
      </c>
      <c r="C3" s="231"/>
      <c r="D3" s="231"/>
      <c r="L3" s="130"/>
    </row>
    <row r="4" spans="2:12" ht="12.75">
      <c r="B4" s="191"/>
      <c r="L4" s="130"/>
    </row>
    <row r="5" ht="12.75">
      <c r="B5" s="3" t="s">
        <v>250</v>
      </c>
    </row>
    <row r="6" ht="12.75"/>
    <row r="7" ht="13.5" thickBot="1"/>
    <row r="8" spans="1:17" ht="16.5" thickTop="1">
      <c r="A8" s="44"/>
      <c r="B8" s="39" t="s">
        <v>152</v>
      </c>
      <c r="C8" s="39"/>
      <c r="D8" s="40"/>
      <c r="E8" s="40"/>
      <c r="F8" s="40"/>
      <c r="G8" s="40"/>
      <c r="H8" s="40"/>
      <c r="I8" s="40"/>
      <c r="J8" s="40"/>
      <c r="K8" s="40"/>
      <c r="L8" s="40"/>
      <c r="M8" s="40"/>
      <c r="N8" s="40"/>
      <c r="O8" s="40"/>
      <c r="P8" s="40"/>
      <c r="Q8" s="41"/>
    </row>
    <row r="9" spans="2:18" ht="13.5" thickBot="1">
      <c r="B9" s="42"/>
      <c r="C9" s="37"/>
      <c r="D9" s="37"/>
      <c r="E9" s="37"/>
      <c r="F9" s="37"/>
      <c r="G9" s="37"/>
      <c r="H9" s="37"/>
      <c r="I9" s="37"/>
      <c r="J9" s="37"/>
      <c r="K9" s="37"/>
      <c r="L9" s="37"/>
      <c r="M9" s="37"/>
      <c r="N9" s="37"/>
      <c r="O9" s="37"/>
      <c r="P9" s="37"/>
      <c r="Q9" s="44"/>
      <c r="R9" s="37"/>
    </row>
    <row r="10" spans="2:17" s="26" customFormat="1" ht="12.75">
      <c r="B10" s="45"/>
      <c r="C10" s="82" t="s">
        <v>131</v>
      </c>
      <c r="D10" s="83"/>
      <c r="E10" s="84" t="s">
        <v>36</v>
      </c>
      <c r="F10" s="84" t="s">
        <v>37</v>
      </c>
      <c r="G10" s="84" t="s">
        <v>79</v>
      </c>
      <c r="H10" s="84" t="s">
        <v>38</v>
      </c>
      <c r="I10" s="84" t="s">
        <v>77</v>
      </c>
      <c r="J10" s="84" t="s">
        <v>39</v>
      </c>
      <c r="K10" s="84" t="s">
        <v>40</v>
      </c>
      <c r="L10" s="84" t="s">
        <v>41</v>
      </c>
      <c r="M10" s="84" t="s">
        <v>42</v>
      </c>
      <c r="N10" s="84" t="s">
        <v>78</v>
      </c>
      <c r="O10" s="84" t="s">
        <v>43</v>
      </c>
      <c r="P10" s="85" t="s">
        <v>44</v>
      </c>
      <c r="Q10" s="48"/>
    </row>
    <row r="11" spans="2:17" s="92" customFormat="1" ht="13.5" thickBot="1">
      <c r="B11" s="86"/>
      <c r="C11" s="87" t="s">
        <v>80</v>
      </c>
      <c r="D11" s="50" t="s">
        <v>2</v>
      </c>
      <c r="E11" s="88">
        <f>Time_jan</f>
        <v>2.6784</v>
      </c>
      <c r="F11" s="88">
        <f>Time_feb</f>
        <v>2.4192</v>
      </c>
      <c r="G11" s="88">
        <f>Time_mar</f>
        <v>2.6784</v>
      </c>
      <c r="H11" s="88">
        <f>Time_apr</f>
        <v>2.592</v>
      </c>
      <c r="I11" s="88">
        <f>Time_may</f>
        <v>2.6784</v>
      </c>
      <c r="J11" s="89">
        <f>Time_jun</f>
        <v>2.592</v>
      </c>
      <c r="K11" s="88">
        <f>Time_jul</f>
        <v>2.6784</v>
      </c>
      <c r="L11" s="88">
        <f>Time_aug</f>
        <v>2.6784</v>
      </c>
      <c r="M11" s="88">
        <f>Time_sep</f>
        <v>2.592</v>
      </c>
      <c r="N11" s="88">
        <f>Time_oct</f>
        <v>2.6784</v>
      </c>
      <c r="O11" s="88">
        <f>Time_nov</f>
        <v>2.592</v>
      </c>
      <c r="P11" s="90">
        <f>Time_dec</f>
        <v>2.6784</v>
      </c>
      <c r="Q11" s="91"/>
    </row>
    <row r="12" spans="2:18" ht="13.5" customHeight="1">
      <c r="B12" s="42"/>
      <c r="C12" s="37"/>
      <c r="D12" s="37"/>
      <c r="E12" s="37"/>
      <c r="F12" s="37"/>
      <c r="G12" s="37"/>
      <c r="H12" s="37"/>
      <c r="I12" s="37"/>
      <c r="J12" s="37"/>
      <c r="K12" s="37"/>
      <c r="L12" s="37"/>
      <c r="M12" s="37"/>
      <c r="N12" s="37"/>
      <c r="O12" s="37"/>
      <c r="P12" s="37"/>
      <c r="Q12" s="44"/>
      <c r="R12" s="37"/>
    </row>
    <row r="13" spans="2:17" ht="13.5" thickBot="1">
      <c r="B13" s="42"/>
      <c r="C13" s="37"/>
      <c r="D13" s="37"/>
      <c r="E13" s="61"/>
      <c r="F13" s="61"/>
      <c r="G13" s="61"/>
      <c r="H13" s="61"/>
      <c r="I13" s="61"/>
      <c r="J13" s="61"/>
      <c r="K13" s="61"/>
      <c r="L13" s="61"/>
      <c r="M13" s="61"/>
      <c r="N13" s="61"/>
      <c r="O13" s="61"/>
      <c r="P13" s="61"/>
      <c r="Q13" s="44"/>
    </row>
    <row r="14" spans="2:17" ht="12.75">
      <c r="B14" s="42"/>
      <c r="C14" s="93" t="s">
        <v>105</v>
      </c>
      <c r="D14" s="94"/>
      <c r="E14" s="95"/>
      <c r="F14" s="95"/>
      <c r="G14" s="95"/>
      <c r="H14" s="95"/>
      <c r="I14" s="95"/>
      <c r="J14" s="95"/>
      <c r="K14" s="95"/>
      <c r="L14" s="95"/>
      <c r="M14" s="95"/>
      <c r="N14" s="95"/>
      <c r="O14" s="95"/>
      <c r="P14" s="96"/>
      <c r="Q14" s="44"/>
    </row>
    <row r="15" spans="2:17" ht="15.75">
      <c r="B15" s="42"/>
      <c r="C15" s="46" t="s">
        <v>106</v>
      </c>
      <c r="D15" s="37" t="s">
        <v>11</v>
      </c>
      <c r="E15" s="57">
        <f>+U_opaque_facade*(East_opaque_wall_area+South_opaque_wall_area+West_opaque_wall_area+North_opaque_wall_area)+U_opaque_roof*Roof_area+U_floor*Floor_area*Loss_coefficient_floor+U_window*(East_window_area+South_window_area+West_window_area+North_window_area)+U_door*(East_door_area+South_door_area+West_door_area+North_door_area)+Thermal_bridges</f>
        <v>122.75837499999999</v>
      </c>
      <c r="F15" s="57">
        <f aca="true" t="shared" si="0" ref="F15:P15">+U_opaque_facade*(East_opaque_wall_area+South_opaque_wall_area+West_opaque_wall_area+North_opaque_wall_area)+U_opaque_roof*Roof_area+U_floor*Floor_area*Loss_coefficient_floor+U_window*(East_window_area+South_window_area+West_window_area+North_window_area)+U_door*(East_door_area+South_door_area+West_door_area+North_door_area)+Thermal_bridges</f>
        <v>122.75837499999999</v>
      </c>
      <c r="G15" s="57">
        <f t="shared" si="0"/>
        <v>122.75837499999999</v>
      </c>
      <c r="H15" s="57">
        <f t="shared" si="0"/>
        <v>122.75837499999999</v>
      </c>
      <c r="I15" s="57">
        <f t="shared" si="0"/>
        <v>122.75837499999999</v>
      </c>
      <c r="J15" s="57">
        <f t="shared" si="0"/>
        <v>122.75837499999999</v>
      </c>
      <c r="K15" s="57">
        <f t="shared" si="0"/>
        <v>122.75837499999999</v>
      </c>
      <c r="L15" s="57">
        <f t="shared" si="0"/>
        <v>122.75837499999999</v>
      </c>
      <c r="M15" s="57">
        <f t="shared" si="0"/>
        <v>122.75837499999999</v>
      </c>
      <c r="N15" s="57">
        <f t="shared" si="0"/>
        <v>122.75837499999999</v>
      </c>
      <c r="O15" s="57">
        <f t="shared" si="0"/>
        <v>122.75837499999999</v>
      </c>
      <c r="P15" s="97">
        <f t="shared" si="0"/>
        <v>122.75837499999999</v>
      </c>
      <c r="Q15" s="44"/>
    </row>
    <row r="16" spans="2:17" ht="16.5" thickBot="1">
      <c r="B16" s="42"/>
      <c r="C16" s="49" t="s">
        <v>107</v>
      </c>
      <c r="D16" s="79" t="s">
        <v>1</v>
      </c>
      <c r="E16" s="98">
        <f>+Ht_H*(Tset_heating-'Climate data'!E$6)*Length_of_month</f>
        <v>5426.416118834999</v>
      </c>
      <c r="F16" s="98">
        <f>+Ht_H*(Tset_heating-'Climate data'!F$6)*Length_of_month</f>
        <v>4690.955963204999</v>
      </c>
      <c r="G16" s="98">
        <f>+Ht_H*(Tset_heating-'Climate data'!G$6)*Length_of_month</f>
        <v>4370.644990484999</v>
      </c>
      <c r="H16" s="98">
        <f>+Ht_H*(Tset_heating-'Climate data'!H$6)*Length_of_month</f>
        <v>3277.088834309999</v>
      </c>
      <c r="I16" s="98">
        <f>+Ht_H*(Tset_heating-'Climate data'!I$6)*Length_of_month</f>
        <v>2070.973068929997</v>
      </c>
      <c r="J16" s="98">
        <f>+Ht_H*(Tset_heating-'Climate data'!J$6)*Length_of_month</f>
        <v>1112.3823805649986</v>
      </c>
      <c r="K16" s="98">
        <f>+Ht_H*(Tset_heating-'Climate data'!K$6)*Length_of_month</f>
        <v>590.6396454750023</v>
      </c>
      <c r="L16" s="98">
        <f>+Ht_H*(Tset_heating-'Climate data'!L$6)*Length_of_month</f>
        <v>657.5478701849942</v>
      </c>
      <c r="M16" s="98">
        <f>+Ht_H*(Tset_heating-'Climate data'!M$6)*Length_of_month</f>
        <v>1464.2471659950006</v>
      </c>
      <c r="N16" s="98">
        <f>+Ht_H*(Tset_heating-'Climate data'!N$6)*Length_of_month</f>
        <v>2827.248134624999</v>
      </c>
      <c r="O16" s="98">
        <f>+Ht_H*(Tset_heating-'Climate data'!O$6)*Length_of_month</f>
        <v>4135.582343699999</v>
      </c>
      <c r="P16" s="80">
        <f>+Ht_H*(Tset_heating-'Climate data'!P$6)*Length_of_month</f>
        <v>5129.350672004999</v>
      </c>
      <c r="Q16" s="44"/>
    </row>
    <row r="17" spans="2:17" ht="13.5" thickBot="1">
      <c r="B17" s="42"/>
      <c r="C17" s="37"/>
      <c r="D17" s="37"/>
      <c r="E17" s="61"/>
      <c r="F17" s="61"/>
      <c r="G17" s="61"/>
      <c r="H17" s="61"/>
      <c r="I17" s="61"/>
      <c r="J17" s="61"/>
      <c r="K17" s="61"/>
      <c r="L17" s="61"/>
      <c r="M17" s="61"/>
      <c r="N17" s="61"/>
      <c r="O17" s="61"/>
      <c r="P17" s="61"/>
      <c r="Q17" s="44"/>
    </row>
    <row r="18" spans="2:17" ht="12.75">
      <c r="B18" s="42"/>
      <c r="C18" s="93" t="s">
        <v>108</v>
      </c>
      <c r="D18" s="94"/>
      <c r="E18" s="95"/>
      <c r="F18" s="95"/>
      <c r="G18" s="95"/>
      <c r="H18" s="95"/>
      <c r="I18" s="95"/>
      <c r="J18" s="95"/>
      <c r="K18" s="95"/>
      <c r="L18" s="95"/>
      <c r="M18" s="95"/>
      <c r="N18" s="95"/>
      <c r="O18" s="95"/>
      <c r="P18" s="96"/>
      <c r="Q18" s="44"/>
    </row>
    <row r="19" spans="2:17" ht="15.75">
      <c r="B19" s="42"/>
      <c r="C19" s="46" t="s">
        <v>109</v>
      </c>
      <c r="D19" s="37" t="s">
        <v>11</v>
      </c>
      <c r="E19" s="57">
        <f aca="true" t="shared" si="1" ref="E19:P19">+IF(Ventilation_type=4,1.2*(Air_flow_rate*Total_usable_area*(1-(Heat_recovery_efficiency*Air_flow_rate_mechanical_fraction))),1.2*(Air_flow_rate*Total_usable_area))</f>
        <v>93.16079999999998</v>
      </c>
      <c r="F19" s="57">
        <f t="shared" si="1"/>
        <v>93.16079999999998</v>
      </c>
      <c r="G19" s="57">
        <f t="shared" si="1"/>
        <v>93.16079999999998</v>
      </c>
      <c r="H19" s="57">
        <f t="shared" si="1"/>
        <v>93.16079999999998</v>
      </c>
      <c r="I19" s="57">
        <f t="shared" si="1"/>
        <v>93.16079999999998</v>
      </c>
      <c r="J19" s="57">
        <f t="shared" si="1"/>
        <v>93.16079999999998</v>
      </c>
      <c r="K19" s="57">
        <f t="shared" si="1"/>
        <v>93.16079999999998</v>
      </c>
      <c r="L19" s="57">
        <f t="shared" si="1"/>
        <v>93.16079999999998</v>
      </c>
      <c r="M19" s="57">
        <f t="shared" si="1"/>
        <v>93.16079999999998</v>
      </c>
      <c r="N19" s="57">
        <f t="shared" si="1"/>
        <v>93.16079999999998</v>
      </c>
      <c r="O19" s="57">
        <f t="shared" si="1"/>
        <v>93.16079999999998</v>
      </c>
      <c r="P19" s="97">
        <f t="shared" si="1"/>
        <v>93.16079999999998</v>
      </c>
      <c r="Q19" s="44"/>
    </row>
    <row r="20" spans="2:17" ht="16.5" thickBot="1">
      <c r="B20" s="42"/>
      <c r="C20" s="49" t="s">
        <v>110</v>
      </c>
      <c r="D20" s="79" t="s">
        <v>1</v>
      </c>
      <c r="E20" s="98">
        <f>+Hv_H*(Tset_heating-'Climate data'!E$6)*Length_of_month</f>
        <v>4118.083729631999</v>
      </c>
      <c r="F20" s="98">
        <f>+Hv_H*(Tset_heating-'Climate data'!F$6)*Length_of_month</f>
        <v>3559.9461975359986</v>
      </c>
      <c r="G20" s="98">
        <f>+Hv_H*(Tset_heating-'Climate data'!G$6)*Length_of_month</f>
        <v>3316.8635853119986</v>
      </c>
      <c r="H20" s="98">
        <f>+Hv_H*(Tset_heating-'Climate data'!H$6)*Length_of_month</f>
        <v>2486.968546751999</v>
      </c>
      <c r="I20" s="98">
        <f>+Hv_H*(Tset_heating-'Climate data'!I$6)*Length_of_month</f>
        <v>1571.6525074559977</v>
      </c>
      <c r="J20" s="98">
        <f>+Hv_H*(Tset_heating-'Climate data'!J$6)*Length_of_month</f>
        <v>844.1821788479987</v>
      </c>
      <c r="K20" s="98">
        <f>+Hv_H*(Tset_heating-'Climate data'!K$6)*Length_of_month</f>
        <v>448.2338731200018</v>
      </c>
      <c r="L20" s="98">
        <f>+Hv_H*(Tset_heating-'Climate data'!L$6)*Length_of_month</f>
        <v>499.0102355519955</v>
      </c>
      <c r="M20" s="98">
        <f>+Hv_H*(Tset_heating-'Climate data'!M$6)*Length_of_month</f>
        <v>1111.2108431040003</v>
      </c>
      <c r="N20" s="98">
        <f>+Hv_H*(Tset_heating-'Climate data'!N$6)*Length_of_month</f>
        <v>2145.586384799999</v>
      </c>
      <c r="O20" s="98">
        <f>+Hv_H*(Tset_heating-'Climate data'!O$6)*Length_of_month</f>
        <v>3138.4755590399996</v>
      </c>
      <c r="P20" s="80">
        <f>+Hv_H*(Tset_heating-'Climate data'!P$6)*Length_of_month</f>
        <v>3892.642046495999</v>
      </c>
      <c r="Q20" s="44"/>
    </row>
    <row r="21" spans="2:17" ht="13.5" thickBot="1">
      <c r="B21" s="42"/>
      <c r="C21" s="37"/>
      <c r="D21" s="37"/>
      <c r="E21" s="61"/>
      <c r="F21" s="61"/>
      <c r="G21" s="61"/>
      <c r="H21" s="61"/>
      <c r="I21" s="61"/>
      <c r="J21" s="61"/>
      <c r="K21" s="61"/>
      <c r="L21" s="61"/>
      <c r="M21" s="61"/>
      <c r="N21" s="61"/>
      <c r="O21" s="61"/>
      <c r="P21" s="61"/>
      <c r="Q21" s="44"/>
    </row>
    <row r="22" spans="2:17" ht="12.75">
      <c r="B22" s="42"/>
      <c r="C22" s="93" t="s">
        <v>102</v>
      </c>
      <c r="D22" s="99"/>
      <c r="E22" s="100"/>
      <c r="F22" s="100"/>
      <c r="G22" s="100"/>
      <c r="H22" s="100"/>
      <c r="I22" s="100"/>
      <c r="J22" s="100"/>
      <c r="K22" s="100"/>
      <c r="L22" s="100"/>
      <c r="M22" s="100"/>
      <c r="N22" s="100"/>
      <c r="O22" s="100"/>
      <c r="P22" s="101"/>
      <c r="Q22" s="102"/>
    </row>
    <row r="23" spans="2:17" ht="16.5" thickBot="1">
      <c r="B23" s="42"/>
      <c r="C23" s="49" t="s">
        <v>103</v>
      </c>
      <c r="D23" s="79" t="s">
        <v>1</v>
      </c>
      <c r="E23" s="98">
        <f aca="true" t="shared" si="2" ref="E23:P23">+Internal_heat_sources*Total_usable_area*Length_of_month</f>
        <v>2079.3490559999996</v>
      </c>
      <c r="F23" s="98">
        <f t="shared" si="2"/>
        <v>1878.1217279999998</v>
      </c>
      <c r="G23" s="98">
        <f t="shared" si="2"/>
        <v>2079.3490559999996</v>
      </c>
      <c r="H23" s="98">
        <f t="shared" si="2"/>
        <v>2012.2732799999999</v>
      </c>
      <c r="I23" s="98">
        <f t="shared" si="2"/>
        <v>2079.3490559999996</v>
      </c>
      <c r="J23" s="98">
        <f t="shared" si="2"/>
        <v>2012.2732799999999</v>
      </c>
      <c r="K23" s="98">
        <f t="shared" si="2"/>
        <v>2079.3490559999996</v>
      </c>
      <c r="L23" s="98">
        <f t="shared" si="2"/>
        <v>2079.3490559999996</v>
      </c>
      <c r="M23" s="98">
        <f t="shared" si="2"/>
        <v>2012.2732799999999</v>
      </c>
      <c r="N23" s="98">
        <f t="shared" si="2"/>
        <v>2079.3490559999996</v>
      </c>
      <c r="O23" s="98">
        <f t="shared" si="2"/>
        <v>2012.2732799999999</v>
      </c>
      <c r="P23" s="80">
        <f t="shared" si="2"/>
        <v>2079.3490559999996</v>
      </c>
      <c r="Q23" s="102"/>
    </row>
    <row r="24" spans="2:17" ht="13.5" thickBot="1">
      <c r="B24" s="42"/>
      <c r="C24" s="28"/>
      <c r="D24" s="37"/>
      <c r="E24" s="61"/>
      <c r="F24" s="61"/>
      <c r="G24" s="61"/>
      <c r="H24" s="61"/>
      <c r="I24" s="61"/>
      <c r="J24" s="61"/>
      <c r="K24" s="61"/>
      <c r="L24" s="61"/>
      <c r="M24" s="61"/>
      <c r="N24" s="61"/>
      <c r="O24" s="61"/>
      <c r="P24" s="61"/>
      <c r="Q24" s="102"/>
    </row>
    <row r="25" spans="2:17" ht="12.75">
      <c r="B25" s="42"/>
      <c r="C25" s="93" t="s">
        <v>264</v>
      </c>
      <c r="D25" s="99"/>
      <c r="E25" s="99"/>
      <c r="F25" s="99"/>
      <c r="G25" s="99"/>
      <c r="H25" s="99"/>
      <c r="I25" s="99"/>
      <c r="J25" s="99"/>
      <c r="K25" s="99"/>
      <c r="L25" s="99"/>
      <c r="M25" s="99"/>
      <c r="N25" s="99"/>
      <c r="O25" s="99"/>
      <c r="P25" s="103"/>
      <c r="Q25" s="44"/>
    </row>
    <row r="26" spans="2:17" ht="15.75">
      <c r="B26" s="42"/>
      <c r="C26" s="46" t="s">
        <v>91</v>
      </c>
      <c r="D26" s="37" t="s">
        <v>100</v>
      </c>
      <c r="E26" s="65">
        <f>+g_value*Glazing_fraction*East_window_area*'Climate data'!E7-Form_factor_vert*External_surface_heat_resistance*U_window*East_window_area*(5*Emissivity)*Difference_T_air_sky</f>
        <v>12.597948387096785</v>
      </c>
      <c r="F26" s="65">
        <f>+g_value*Glazing_fraction*East_window_area*'Climate data'!F7-Form_factor_vert*External_surface_heat_resistance*U_window*East_window_area*(5*Emissivity)*Difference_T_air_sky</f>
        <v>27.149266071428578</v>
      </c>
      <c r="G26" s="65">
        <f>+g_value*Glazing_fraction*East_window_area*'Climate data'!G7-Form_factor_vert*External_surface_heat_resistance*U_window*East_window_area*(5*Emissivity)*Difference_T_air_sky</f>
        <v>43.936154032258095</v>
      </c>
      <c r="H26" s="65">
        <f>+g_value*Glazing_fraction*East_window_area*'Climate data'!H7-Form_factor_vert*External_surface_heat_resistance*U_window*East_window_area*(5*Emissivity)*Difference_T_air_sky</f>
        <v>64.15127500000001</v>
      </c>
      <c r="I26" s="65">
        <f>+g_value*Glazing_fraction*East_window_area*'Climate data'!I7-Form_factor_vert*External_surface_heat_resistance*U_window*East_window_area*(5*Emissivity)*Difference_T_air_sky</f>
        <v>89.6967387096775</v>
      </c>
      <c r="J26" s="65">
        <f>+g_value*Glazing_fraction*East_window_area*'Climate data'!J7-Form_factor_vert*External_surface_heat_resistance*U_window*East_window_area*(5*Emissivity)*Difference_T_air_sky</f>
        <v>91.05690000000006</v>
      </c>
      <c r="K26" s="65">
        <f>+g_value*Glazing_fraction*East_window_area*'Climate data'!K7-Form_factor_vert*External_surface_heat_resistance*U_window*East_window_area*(5*Emissivity)*Difference_T_air_sky</f>
        <v>89.12456129032257</v>
      </c>
      <c r="L26" s="65">
        <f>+g_value*Glazing_fraction*East_window_area*'Climate data'!L7-Form_factor_vert*External_surface_heat_resistance*U_window*East_window_area*(5*Emissivity)*Difference_T_air_sky</f>
        <v>73.88292822580642</v>
      </c>
      <c r="M26" s="65">
        <f>+g_value*Glazing_fraction*East_window_area*'Climate data'!M7-Form_factor_vert*External_surface_heat_resistance*U_window*East_window_area*(5*Emissivity)*Difference_T_air_sky</f>
        <v>54.888775</v>
      </c>
      <c r="N26" s="65">
        <f>+g_value*Glazing_fraction*East_window_area*'Climate data'!N7-Form_factor_vert*External_surface_heat_resistance*U_window*East_window_area*(5*Emissivity)*Difference_T_air_sky</f>
        <v>35.46296854838707</v>
      </c>
      <c r="O26" s="65">
        <f>+g_value*Glazing_fraction*East_window_area*'Climate data'!O7-Form_factor_vert*External_surface_heat_resistance*U_window*East_window_area*(5*Emissivity)*Difference_T_air_sky</f>
        <v>14.98565</v>
      </c>
      <c r="P26" s="104">
        <f>+g_value*Glazing_fraction*East_window_area*'Climate data'!P7-Form_factor_vert*External_surface_heat_resistance*U_window*East_window_area*(5*Emissivity)*Difference_T_air_sky</f>
        <v>9.372645967741942</v>
      </c>
      <c r="Q26" s="102"/>
    </row>
    <row r="27" spans="2:17" ht="15.75">
      <c r="B27" s="42"/>
      <c r="C27" s="46" t="s">
        <v>92</v>
      </c>
      <c r="D27" s="37" t="s">
        <v>100</v>
      </c>
      <c r="E27" s="65">
        <f>+g_value*Glazing_fraction*South_window_area*'Climate data'!E8-Form_factor_vert*External_surface_heat_resistance*U_window*South_window_area*(5*Emissivity)*Difference_T_air_sky</f>
        <v>212.82759193548398</v>
      </c>
      <c r="F27" s="65">
        <f>+g_value*Glazing_fraction*South_window_area*'Climate data'!F8-Form_factor_vert*External_surface_heat_resistance*U_window*South_window_area*(5*Emissivity)*Difference_T_air_sky</f>
        <v>364.3470709821431</v>
      </c>
      <c r="G27" s="65">
        <f>+g_value*Glazing_fraction*South_window_area*'Climate data'!G8-Form_factor_vert*External_surface_heat_resistance*U_window*South_window_area*(5*Emissivity)*Difference_T_air_sky</f>
        <v>444.7950314516132</v>
      </c>
      <c r="H27" s="65">
        <f>+g_value*Glazing_fraction*South_window_area*'Climate data'!H8-Form_factor_vert*External_surface_heat_resistance*U_window*South_window_area*(5*Emissivity)*Difference_T_air_sky</f>
        <v>525.3626625</v>
      </c>
      <c r="I27" s="65">
        <f>+g_value*Glazing_fraction*South_window_area*'Climate data'!I8-Form_factor_vert*External_surface_heat_resistance*U_window*South_window_area*(5*Emissivity)*Difference_T_air_sky</f>
        <v>541.5185697580645</v>
      </c>
      <c r="J27" s="65">
        <f>+g_value*Glazing_fraction*South_window_area*'Climate data'!J8-Form_factor_vert*External_surface_heat_resistance*U_window*South_window_area*(5*Emissivity)*Difference_T_air_sky</f>
        <v>502.43797500000005</v>
      </c>
      <c r="K27" s="65">
        <f>+g_value*Glazing_fraction*South_window_area*'Climate data'!K8-Form_factor_vert*External_surface_heat_resistance*U_window*South_window_area*(5*Emissivity)*Difference_T_air_sky</f>
        <v>519.3923600806451</v>
      </c>
      <c r="L27" s="65">
        <f>+g_value*Glazing_fraction*South_window_area*'Climate data'!L8-Form_factor_vert*External_surface_heat_resistance*U_window*South_window_area*(5*Emissivity)*Difference_T_air_sky</f>
        <v>538.011714919355</v>
      </c>
      <c r="M27" s="65">
        <f>+g_value*Glazing_fraction*South_window_area*'Climate data'!M8-Form_factor_vert*External_surface_heat_resistance*U_window*South_window_area*(5*Emissivity)*Difference_T_air_sky</f>
        <v>524.0667250000006</v>
      </c>
      <c r="N27" s="65">
        <f>+g_value*Glazing_fraction*South_window_area*'Climate data'!N8-Form_factor_vert*External_surface_heat_resistance*U_window*South_window_area*(5*Emissivity)*Difference_T_air_sky</f>
        <v>453.9651423387097</v>
      </c>
      <c r="O27" s="65">
        <f>+g_value*Glazing_fraction*South_window_area*'Climate data'!O8-Form_factor_vert*External_surface_heat_resistance*U_window*South_window_area*(5*Emissivity)*Difference_T_air_sky</f>
        <v>261.84250625000004</v>
      </c>
      <c r="P27" s="104">
        <f>+g_value*Glazing_fraction*South_window_area*'Climate data'!P8-Form_factor_vert*External_surface_heat_resistance*U_window*South_window_area*(5*Emissivity)*Difference_T_air_sky</f>
        <v>196.48847903225828</v>
      </c>
      <c r="Q27" s="102"/>
    </row>
    <row r="28" spans="2:17" ht="15.75">
      <c r="B28" s="42"/>
      <c r="C28" s="46" t="s">
        <v>93</v>
      </c>
      <c r="D28" s="37" t="s">
        <v>100</v>
      </c>
      <c r="E28" s="65">
        <f>+g_value*Glazing_fraction*West_window_area*'Climate data'!E9-Form_factor_vert*External_surface_heat_resistance*U_window*West_window_area*(5*Emissivity)*Difference_T_air_sky</f>
        <v>0</v>
      </c>
      <c r="F28" s="65">
        <f>+g_value*Glazing_fraction*West_window_area*'Climate data'!F9-Form_factor_vert*External_surface_heat_resistance*U_window*West_window_area*(5*Emissivity)*Difference_T_air_sky</f>
        <v>0</v>
      </c>
      <c r="G28" s="65">
        <f>+g_value*Glazing_fraction*West_window_area*'Climate data'!G9-Form_factor_vert*External_surface_heat_resistance*U_window*West_window_area*(5*Emissivity)*Difference_T_air_sky</f>
        <v>0</v>
      </c>
      <c r="H28" s="65">
        <f>+g_value*Glazing_fraction*West_window_area*'Climate data'!H9-Form_factor_vert*External_surface_heat_resistance*U_window*West_window_area*(5*Emissivity)*Difference_T_air_sky</f>
        <v>0</v>
      </c>
      <c r="I28" s="65">
        <f>+g_value*Glazing_fraction*West_window_area*'Climate data'!I9-Form_factor_vert*External_surface_heat_resistance*U_window*West_window_area*(5*Emissivity)*Difference_T_air_sky</f>
        <v>0</v>
      </c>
      <c r="J28" s="65">
        <f>+g_value*Glazing_fraction*West_window_area*'Climate data'!J9-Form_factor_vert*External_surface_heat_resistance*U_window*West_window_area*(5*Emissivity)*Difference_T_air_sky</f>
        <v>0</v>
      </c>
      <c r="K28" s="65">
        <f>+g_value*Glazing_fraction*West_window_area*'Climate data'!K9-Form_factor_vert*External_surface_heat_resistance*U_window*West_window_area*(5*Emissivity)*Difference_T_air_sky</f>
        <v>0</v>
      </c>
      <c r="L28" s="65">
        <f>+g_value*Glazing_fraction*West_window_area*'Climate data'!L9-Form_factor_vert*External_surface_heat_resistance*U_window*West_window_area*(5*Emissivity)*Difference_T_air_sky</f>
        <v>0</v>
      </c>
      <c r="M28" s="65">
        <f>+g_value*Glazing_fraction*West_window_area*'Climate data'!M9-Form_factor_vert*External_surface_heat_resistance*U_window*West_window_area*(5*Emissivity)*Difference_T_air_sky</f>
        <v>0</v>
      </c>
      <c r="N28" s="65">
        <f>+g_value*Glazing_fraction*West_window_area*'Climate data'!N9-Form_factor_vert*External_surface_heat_resistance*U_window*West_window_area*(5*Emissivity)*Difference_T_air_sky</f>
        <v>0</v>
      </c>
      <c r="O28" s="65">
        <f>+g_value*Glazing_fraction*West_window_area*'Climate data'!O9-Form_factor_vert*External_surface_heat_resistance*U_window*West_window_area*(5*Emissivity)*Difference_T_air_sky</f>
        <v>0</v>
      </c>
      <c r="P28" s="104">
        <f>+g_value*Glazing_fraction*West_window_area*'Climate data'!P9-Form_factor_vert*External_surface_heat_resistance*U_window*West_window_area*(5*Emissivity)*Difference_T_air_sky</f>
        <v>0</v>
      </c>
      <c r="Q28" s="102"/>
    </row>
    <row r="29" spans="2:17" ht="15.75">
      <c r="B29" s="42"/>
      <c r="C29" s="46" t="s">
        <v>94</v>
      </c>
      <c r="D29" s="37" t="s">
        <v>100</v>
      </c>
      <c r="E29" s="65">
        <f>+g_value*Glazing_fraction*North_window_area*'Climate data'!E10-Form_factor_vert*External_surface_heat_resistance*U_window*North_window_area*(5*Emissivity)*Difference_T_air_sky</f>
        <v>32.239058064516136</v>
      </c>
      <c r="F29" s="65">
        <f>+g_value*Glazing_fraction*North_window_area*'Climate data'!F10-Form_factor_vert*External_surface_heat_resistance*U_window*North_window_area*(5*Emissivity)*Difference_T_air_sky</f>
        <v>71.35858571428572</v>
      </c>
      <c r="G29" s="65">
        <f>+g_value*Glazing_fraction*North_window_area*'Climate data'!G10-Form_factor_vert*External_surface_heat_resistance*U_window*North_window_area*(5*Emissivity)*Difference_T_air_sky</f>
        <v>120.20034838709675</v>
      </c>
      <c r="H29" s="65">
        <f>+g_value*Glazing_fraction*North_window_area*'Climate data'!H10-Form_factor_vert*External_surface_heat_resistance*U_window*North_window_area*(5*Emissivity)*Difference_T_air_sky</f>
        <v>192.09846666666667</v>
      </c>
      <c r="I29" s="65">
        <f>+g_value*Glazing_fraction*North_window_area*'Climate data'!I10-Form_factor_vert*External_surface_heat_resistance*U_window*North_window_area*(5*Emissivity)*Difference_T_air_sky</f>
        <v>275.49712258064517</v>
      </c>
      <c r="J29" s="65">
        <f>+g_value*Glazing_fraction*North_window_area*'Climate data'!J10-Form_factor_vert*External_surface_heat_resistance*U_window*North_window_area*(5*Emissivity)*Difference_T_air_sky</f>
        <v>289.8834666666664</v>
      </c>
      <c r="K29" s="65">
        <f>+g_value*Glazing_fraction*North_window_area*'Climate data'!K10-Form_factor_vert*External_surface_heat_resistance*U_window*North_window_area*(5*Emissivity)*Difference_T_air_sky</f>
        <v>291.60518709677416</v>
      </c>
      <c r="L29" s="65">
        <f>+g_value*Glazing_fraction*North_window_area*'Climate data'!L10-Form_factor_vert*External_surface_heat_resistance*U_window*North_window_area*(5*Emissivity)*Difference_T_air_sky</f>
        <v>234.61970322580626</v>
      </c>
      <c r="M29" s="65">
        <f>+g_value*Glazing_fraction*North_window_area*'Climate data'!M10-Form_factor_vert*External_surface_heat_resistance*U_window*North_window_area*(5*Emissivity)*Difference_T_air_sky</f>
        <v>152.39680000000004</v>
      </c>
      <c r="N29" s="65">
        <f>+g_value*Glazing_fraction*North_window_area*'Climate data'!N10-Form_factor_vert*External_surface_heat_resistance*U_window*North_window_area*(5*Emissivity)*Difference_T_air_sky</f>
        <v>90.3519612903226</v>
      </c>
      <c r="O29" s="65">
        <f>+g_value*Glazing_fraction*North_window_area*'Climate data'!O10-Form_factor_vert*External_surface_heat_resistance*U_window*North_window_area*(5*Emissivity)*Difference_T_air_sky</f>
        <v>42.17679999999997</v>
      </c>
      <c r="P29" s="104">
        <f>+g_value*Glazing_fraction*North_window_area*'Climate data'!P10-Form_factor_vert*External_surface_heat_resistance*U_window*North_window_area*(5*Emissivity)*Difference_T_air_sky</f>
        <v>21.22776774193548</v>
      </c>
      <c r="Q29" s="102"/>
    </row>
    <row r="30" spans="2:17" ht="15.75">
      <c r="B30" s="42"/>
      <c r="C30" s="46" t="s">
        <v>95</v>
      </c>
      <c r="D30" s="37" t="s">
        <v>100</v>
      </c>
      <c r="E30" s="65">
        <f>+Absorption_coefficient*External_surface_heat_resistance*U_opaque_facade*East_opaque_wall_area*'Climate data'!E7-Form_factor_vert*External_surface_heat_resistance*U_opaque_facade*East_opaque_wall_area*(5*Emissivity)*Difference_T_air_sky</f>
        <v>-11.469430585424128</v>
      </c>
      <c r="F30" s="65">
        <f>+Absorption_coefficient*External_surface_heat_resistance*U_opaque_facade*East_opaque_wall_area*'Climate data'!F7-Form_factor_vert*External_surface_heat_resistance*U_opaque_facade*East_opaque_wall_area*(5*Emissivity)*Difference_T_air_sky</f>
        <v>5.351174074074073</v>
      </c>
      <c r="G30" s="65">
        <f>+Absorption_coefficient*External_surface_heat_resistance*U_opaque_facade*East_opaque_wall_area*'Climate data'!G7-Form_factor_vert*External_surface_heat_resistance*U_opaque_facade*East_opaque_wall_area*(5*Emissivity)*Difference_T_air_sky</f>
        <v>24.755987574671472</v>
      </c>
      <c r="H30" s="65">
        <f>+Absorption_coefficient*External_surface_heat_resistance*U_opaque_facade*East_opaque_wall_area*'Climate data'!H7-Form_factor_vert*External_surface_heat_resistance*U_opaque_facade*East_opaque_wall_area*(5*Emissivity)*Difference_T_air_sky</f>
        <v>48.123669135802466</v>
      </c>
      <c r="I30" s="65">
        <f>+Absorption_coefficient*External_surface_heat_resistance*U_opaque_facade*East_opaque_wall_area*'Climate data'!I7-Form_factor_vert*External_surface_heat_resistance*U_opaque_facade*East_opaque_wall_area*(5*Emissivity)*Difference_T_air_sky</f>
        <v>77.65296367980892</v>
      </c>
      <c r="J30" s="65">
        <f>+Absorption_coefficient*External_surface_heat_resistance*U_opaque_facade*East_opaque_wall_area*'Climate data'!J7-Form_factor_vert*External_surface_heat_resistance*U_opaque_facade*East_opaque_wall_area*(5*Emissivity)*Difference_T_air_sky</f>
        <v>79.22524296296302</v>
      </c>
      <c r="K30" s="65">
        <f>+Absorption_coefficient*External_surface_heat_resistance*U_opaque_facade*East_opaque_wall_area*'Climate data'!K7-Form_factor_vert*External_surface_heat_resistance*U_opaque_facade*East_opaque_wall_area*(5*Emissivity)*Difference_T_air_sky</f>
        <v>76.99155483870965</v>
      </c>
      <c r="L30" s="65">
        <f>+Absorption_coefficient*External_surface_heat_resistance*U_opaque_facade*East_opaque_wall_area*'Climate data'!L7-Form_factor_vert*External_surface_heat_resistance*U_opaque_facade*East_opaque_wall_area*(5*Emissivity)*Difference_T_air_sky</f>
        <v>59.37297968936675</v>
      </c>
      <c r="M30" s="65">
        <f>+Absorption_coefficient*External_surface_heat_resistance*U_opaque_facade*East_opaque_wall_area*'Climate data'!M7-Form_factor_vert*External_surface_heat_resistance*U_opaque_facade*East_opaque_wall_area*(5*Emissivity)*Difference_T_air_sky</f>
        <v>37.41667654320987</v>
      </c>
      <c r="N30" s="65">
        <f>+Absorption_coefficient*External_surface_heat_resistance*U_opaque_facade*East_opaque_wall_area*'Climate data'!N7-Form_factor_vert*External_surface_heat_resistance*U_opaque_facade*East_opaque_wall_area*(5*Emissivity)*Difference_T_air_sky</f>
        <v>14.961403584229345</v>
      </c>
      <c r="O30" s="65">
        <f>+Absorption_coefficient*External_surface_heat_resistance*U_opaque_facade*East_opaque_wall_area*'Climate data'!O7-Form_factor_vert*External_surface_heat_resistance*U_opaque_facade*East_opaque_wall_area*(5*Emissivity)*Difference_T_air_sky</f>
        <v>-8.709365432098771</v>
      </c>
      <c r="P30" s="104">
        <f>+Absorption_coefficient*External_surface_heat_resistance*U_opaque_facade*East_opaque_wall_area*'Climate data'!P7-Form_factor_vert*External_surface_heat_resistance*U_opaque_facade*East_opaque_wall_area*(5*Emissivity)*Difference_T_air_sky</f>
        <v>-15.197720908004776</v>
      </c>
      <c r="Q30" s="102"/>
    </row>
    <row r="31" spans="2:17" ht="15.75">
      <c r="B31" s="42"/>
      <c r="C31" s="46" t="s">
        <v>96</v>
      </c>
      <c r="D31" s="37" t="s">
        <v>100</v>
      </c>
      <c r="E31" s="65">
        <f>+Absorption_coefficient*External_surface_heat_resistance*U_opaque_facade*South_opaque_wall_area*'Climate data'!E8-Form_factor_vert*External_surface_heat_resistance*U_opaque_facade*South_opaque_wall_area*(5*Emissivity)*Difference_T_air_sky</f>
        <v>6.041730943847082</v>
      </c>
      <c r="F31" s="65">
        <f>+Absorption_coefficient*External_surface_heat_resistance*U_opaque_facade*South_opaque_wall_area*'Climate data'!F8-Form_factor_vert*External_surface_heat_resistance*U_opaque_facade*South_opaque_wall_area*(5*Emissivity)*Difference_T_air_sky</f>
        <v>19.818635978836</v>
      </c>
      <c r="G31" s="65">
        <f>+Absorption_coefficient*External_surface_heat_resistance*U_opaque_facade*South_opaque_wall_area*'Climate data'!G8-Form_factor_vert*External_surface_heat_resistance*U_opaque_facade*South_opaque_wall_area*(5*Emissivity)*Difference_T_air_sky</f>
        <v>27.133364874552</v>
      </c>
      <c r="H31" s="65">
        <f>+Absorption_coefficient*External_surface_heat_resistance*U_opaque_facade*South_opaque_wall_area*'Climate data'!H8-Form_factor_vert*External_surface_heat_resistance*U_opaque_facade*South_opaque_wall_area*(5*Emissivity)*Difference_T_air_sky</f>
        <v>34.458974814814816</v>
      </c>
      <c r="I31" s="65">
        <f>+Absorption_coefficient*External_surface_heat_resistance*U_opaque_facade*South_opaque_wall_area*'Climate data'!I8-Form_factor_vert*External_surface_heat_resistance*U_opaque_facade*South_opaque_wall_area*(5*Emissivity)*Difference_T_air_sky</f>
        <v>35.927950298685765</v>
      </c>
      <c r="J31" s="65">
        <f>+Absorption_coefficient*External_surface_heat_resistance*U_opaque_facade*South_opaque_wall_area*'Climate data'!J8-Form_factor_vert*External_surface_heat_resistance*U_opaque_facade*South_opaque_wall_area*(5*Emissivity)*Difference_T_air_sky</f>
        <v>32.37454814814815</v>
      </c>
      <c r="K31" s="65">
        <f>+Absorption_coefficient*External_surface_heat_resistance*U_opaque_facade*South_opaque_wall_area*'Climate data'!K8-Form_factor_vert*External_surface_heat_resistance*U_opaque_facade*South_opaque_wall_area*(5*Emissivity)*Difference_T_air_sky</f>
        <v>33.916125209080036</v>
      </c>
      <c r="L31" s="65">
        <f>+Absorption_coefficient*External_surface_heat_resistance*U_opaque_facade*South_opaque_wall_area*'Climate data'!L8-Form_factor_vert*External_surface_heat_resistance*U_opaque_facade*South_opaque_wall_area*(5*Emissivity)*Difference_T_air_sky</f>
        <v>35.60908960573477</v>
      </c>
      <c r="M31" s="65">
        <f>+Absorption_coefficient*External_surface_heat_resistance*U_opaque_facade*South_opaque_wall_area*'Climate data'!M8-Form_factor_vert*External_surface_heat_resistance*U_opaque_facade*South_opaque_wall_area*(5*Emissivity)*Difference_T_air_sky</f>
        <v>34.34114172839511</v>
      </c>
      <c r="N31" s="65">
        <f>+Absorption_coefficient*External_surface_heat_resistance*U_opaque_facade*South_opaque_wall_area*'Climate data'!N8-Form_factor_vert*External_surface_heat_resistance*U_opaque_facade*South_opaque_wall_area*(5*Emissivity)*Difference_T_air_sky</f>
        <v>27.967156989247307</v>
      </c>
      <c r="O31" s="65">
        <f>+Absorption_coefficient*External_surface_heat_resistance*U_opaque_facade*South_opaque_wall_area*'Climate data'!O8-Form_factor_vert*External_surface_heat_resistance*U_opaque_facade*South_opaque_wall_area*(5*Emissivity)*Difference_T_air_sky</f>
        <v>10.498410864197535</v>
      </c>
      <c r="P31" s="104">
        <f>+Absorption_coefficient*External_surface_heat_resistance*U_opaque_facade*South_opaque_wall_area*'Climate data'!P8-Form_factor_vert*External_surface_heat_resistance*U_opaque_facade*South_opaque_wall_area*(5*Emissivity)*Difference_T_air_sky</f>
        <v>4.556097491039445</v>
      </c>
      <c r="Q31" s="102"/>
    </row>
    <row r="32" spans="2:17" ht="15.75">
      <c r="B32" s="42"/>
      <c r="C32" s="46" t="s">
        <v>97</v>
      </c>
      <c r="D32" s="37" t="s">
        <v>100</v>
      </c>
      <c r="E32" s="65">
        <f>+Absorption_coefficient*External_surface_heat_resistance*U_opaque_facade*West_opaque_wall_area*'Climate data'!E9-Form_factor_vert*External_surface_heat_resistance*U_opaque_facade*West_opaque_wall_area*(5*Emissivity)*Difference_T_air_sky</f>
        <v>0</v>
      </c>
      <c r="F32" s="65">
        <f>+Absorption_coefficient*External_surface_heat_resistance*U_opaque_facade*West_opaque_wall_area*'Climate data'!F9-Form_factor_vert*External_surface_heat_resistance*U_opaque_facade*West_opaque_wall_area*(5*Emissivity)*Difference_T_air_sky</f>
        <v>0</v>
      </c>
      <c r="G32" s="65">
        <f>+Absorption_coefficient*External_surface_heat_resistance*U_opaque_facade*West_opaque_wall_area*'Climate data'!G9-Form_factor_vert*External_surface_heat_resistance*U_opaque_facade*West_opaque_wall_area*(5*Emissivity)*Difference_T_air_sky</f>
        <v>0</v>
      </c>
      <c r="H32" s="65">
        <f>+Absorption_coefficient*External_surface_heat_resistance*U_opaque_facade*West_opaque_wall_area*'Climate data'!H9-Form_factor_vert*External_surface_heat_resistance*U_opaque_facade*West_opaque_wall_area*(5*Emissivity)*Difference_T_air_sky</f>
        <v>0</v>
      </c>
      <c r="I32" s="65">
        <f>+Absorption_coefficient*External_surface_heat_resistance*U_opaque_facade*West_opaque_wall_area*'Climate data'!I9-Form_factor_vert*External_surface_heat_resistance*U_opaque_facade*West_opaque_wall_area*(5*Emissivity)*Difference_T_air_sky</f>
        <v>0</v>
      </c>
      <c r="J32" s="65">
        <f>+Absorption_coefficient*External_surface_heat_resistance*U_opaque_facade*West_opaque_wall_area*'Climate data'!J9-Form_factor_vert*External_surface_heat_resistance*U_opaque_facade*West_opaque_wall_area*(5*Emissivity)*Difference_T_air_sky</f>
        <v>0</v>
      </c>
      <c r="K32" s="65">
        <f>+Absorption_coefficient*External_surface_heat_resistance*U_opaque_facade*West_opaque_wall_area*'Climate data'!K9-Form_factor_vert*External_surface_heat_resistance*U_opaque_facade*West_opaque_wall_area*(5*Emissivity)*Difference_T_air_sky</f>
        <v>0</v>
      </c>
      <c r="L32" s="65">
        <f>+Absorption_coefficient*External_surface_heat_resistance*U_opaque_facade*West_opaque_wall_area*'Climate data'!L9-Form_factor_vert*External_surface_heat_resistance*U_opaque_facade*West_opaque_wall_area*(5*Emissivity)*Difference_T_air_sky</f>
        <v>0</v>
      </c>
      <c r="M32" s="65">
        <f>+Absorption_coefficient*External_surface_heat_resistance*U_opaque_facade*West_opaque_wall_area*'Climate data'!M9-Form_factor_vert*External_surface_heat_resistance*U_opaque_facade*West_opaque_wall_area*(5*Emissivity)*Difference_T_air_sky</f>
        <v>0</v>
      </c>
      <c r="N32" s="65">
        <f>+Absorption_coefficient*External_surface_heat_resistance*U_opaque_facade*West_opaque_wall_area*'Climate data'!N9-Form_factor_vert*External_surface_heat_resistance*U_opaque_facade*West_opaque_wall_area*(5*Emissivity)*Difference_T_air_sky</f>
        <v>0</v>
      </c>
      <c r="O32" s="65">
        <f>+Absorption_coefficient*External_surface_heat_resistance*U_opaque_facade*West_opaque_wall_area*'Climate data'!O9-Form_factor_vert*External_surface_heat_resistance*U_opaque_facade*West_opaque_wall_area*(5*Emissivity)*Difference_T_air_sky</f>
        <v>0</v>
      </c>
      <c r="P32" s="104">
        <f>+Absorption_coefficient*External_surface_heat_resistance*U_opaque_facade*West_opaque_wall_area*'Climate data'!P9-Form_factor_vert*External_surface_heat_resistance*U_opaque_facade*West_opaque_wall_area*(5*Emissivity)*Difference_T_air_sky</f>
        <v>0</v>
      </c>
      <c r="Q32" s="102"/>
    </row>
    <row r="33" spans="2:17" ht="15.75">
      <c r="B33" s="42"/>
      <c r="C33" s="46" t="s">
        <v>98</v>
      </c>
      <c r="D33" s="37" t="s">
        <v>100</v>
      </c>
      <c r="E33" s="65">
        <f>+Absorption_coefficient*External_surface_heat_resistance*U_opaque_facade*North_opaque_wall_area*'Climate data'!E10-Form_factor_vert*External_surface_heat_resistance*U_opaque_facade*North_opaque_wall_area*(5*Emissivity)*Difference_T_air_sky</f>
        <v>-10.223899928315415</v>
      </c>
      <c r="F33" s="65">
        <f>+Absorption_coefficient*External_surface_heat_resistance*U_opaque_facade*North_opaque_wall_area*'Climate data'!F10-Form_factor_vert*External_surface_heat_resistance*U_opaque_facade*North_opaque_wall_area*(5*Emissivity)*Difference_T_air_sky</f>
        <v>-5.6721255555555565</v>
      </c>
      <c r="G33" s="65">
        <f>+Absorption_coefficient*External_surface_heat_resistance*U_opaque_facade*North_opaque_wall_area*'Climate data'!G10-Form_factor_vert*External_surface_heat_resistance*U_opaque_facade*North_opaque_wall_area*(5*Emissivity)*Difference_T_air_sky</f>
        <v>0.010884874551967627</v>
      </c>
      <c r="H33" s="65">
        <f>+Absorption_coefficient*External_surface_heat_resistance*U_opaque_facade*North_opaque_wall_area*'Climate data'!H10-Form_factor_vert*External_surface_heat_resistance*U_opaque_facade*North_opaque_wall_area*(5*Emissivity)*Difference_T_air_sky</f>
        <v>8.376630370370373</v>
      </c>
      <c r="I33" s="65">
        <f>+Absorption_coefficient*External_surface_heat_resistance*U_opaque_facade*North_opaque_wall_area*'Climate data'!I10-Form_factor_vert*External_surface_heat_resistance*U_opaque_facade*North_opaque_wall_area*(5*Emissivity)*Difference_T_air_sky</f>
        <v>18.080527311827957</v>
      </c>
      <c r="J33" s="65">
        <f>+Absorption_coefficient*External_surface_heat_resistance*U_opaque_facade*North_opaque_wall_area*'Climate data'!J10-Form_factor_vert*External_surface_heat_resistance*U_opaque_facade*North_opaque_wall_area*(5*Emissivity)*Difference_T_air_sky</f>
        <v>19.754458370370337</v>
      </c>
      <c r="K33" s="65">
        <f>+Absorption_coefficient*External_surface_heat_resistance*U_opaque_facade*North_opaque_wall_area*'Climate data'!K10-Form_factor_vert*External_surface_heat_resistance*U_opaque_facade*North_opaque_wall_area*(5*Emissivity)*Difference_T_air_sky</f>
        <v>19.954790107526875</v>
      </c>
      <c r="L33" s="65">
        <f>+Absorption_coefficient*External_surface_heat_resistance*U_opaque_facade*North_opaque_wall_area*'Climate data'!L10-Form_factor_vert*External_surface_heat_resistance*U_opaque_facade*North_opaque_wall_area*(5*Emissivity)*Difference_T_air_sky</f>
        <v>13.32421247311826</v>
      </c>
      <c r="M33" s="65">
        <f>+Absorption_coefficient*External_surface_heat_resistance*U_opaque_facade*North_opaque_wall_area*'Climate data'!M10-Form_factor_vert*External_surface_heat_resistance*U_opaque_facade*North_opaque_wall_area*(5*Emissivity)*Difference_T_air_sky</f>
        <v>3.7571208888888936</v>
      </c>
      <c r="N33" s="65">
        <f>+Absorption_coefficient*External_surface_heat_resistance*U_opaque_facade*North_opaque_wall_area*'Climate data'!N10-Form_factor_vert*External_surface_heat_resistance*U_opaque_facade*North_opaque_wall_area*(5*Emissivity)*Difference_T_air_sky</f>
        <v>-3.4621407885304656</v>
      </c>
      <c r="O33" s="65">
        <f>+Absorption_coefficient*External_surface_heat_resistance*U_opaque_facade*North_opaque_wall_area*'Climate data'!O10-Form_factor_vert*External_surface_heat_resistance*U_opaque_facade*North_opaque_wall_area*(5*Emissivity)*Difference_T_air_sky</f>
        <v>-9.06758844444445</v>
      </c>
      <c r="P33" s="104">
        <f>+Absorption_coefficient*External_surface_heat_resistance*U_opaque_facade*North_opaque_wall_area*'Climate data'!P10-Form_factor_vert*External_surface_heat_resistance*U_opaque_facade*North_opaque_wall_area*(5*Emissivity)*Difference_T_air_sky</f>
        <v>-11.505124731182798</v>
      </c>
      <c r="Q33" s="102"/>
    </row>
    <row r="34" spans="2:17" ht="15.75">
      <c r="B34" s="42"/>
      <c r="C34" s="46" t="s">
        <v>169</v>
      </c>
      <c r="D34" s="37" t="s">
        <v>100</v>
      </c>
      <c r="E34" s="65">
        <f>+Absorption_coefficient*External_surface_heat_resistance*U_door*East_door_area*'Climate data'!E7-Form_factor_vert*External_surface_heat_resistance*U_door*East_door_area*(5*Emissivity)*Difference_T_air_sky</f>
        <v>0</v>
      </c>
      <c r="F34" s="65">
        <f>+Absorption_coefficient*External_surface_heat_resistance*U_door*East_door_area*'Climate data'!F7-Form_factor_vert*External_surface_heat_resistance*U_door*East_door_area*(5*Emissivity)*Difference_T_air_sky</f>
        <v>0</v>
      </c>
      <c r="G34" s="65">
        <f>+Absorption_coefficient*External_surface_heat_resistance*U_door*East_door_area*'Climate data'!G7-Form_factor_vert*External_surface_heat_resistance*U_door*East_door_area*(5*Emissivity)*Difference_T_air_sky</f>
        <v>0</v>
      </c>
      <c r="H34" s="65">
        <f>+Absorption_coefficient*External_surface_heat_resistance*U_door*East_door_area*'Climate data'!H7-Form_factor_vert*External_surface_heat_resistance*U_door*East_door_area*(5*Emissivity)*Difference_T_air_sky</f>
        <v>0</v>
      </c>
      <c r="I34" s="65">
        <f>+Absorption_coefficient*External_surface_heat_resistance*U_door*East_door_area*'Climate data'!I7-Form_factor_vert*External_surface_heat_resistance*U_door*East_door_area*(5*Emissivity)*Difference_T_air_sky</f>
        <v>0</v>
      </c>
      <c r="J34" s="65">
        <f>+Absorption_coefficient*External_surface_heat_resistance*U_door*East_door_area*'Climate data'!J7-Form_factor_vert*External_surface_heat_resistance*U_door*East_door_area*(5*Emissivity)*Difference_T_air_sky</f>
        <v>0</v>
      </c>
      <c r="K34" s="65">
        <f>+Absorption_coefficient*External_surface_heat_resistance*U_door*East_door_area*'Climate data'!K7-Form_factor_vert*External_surface_heat_resistance*U_door*East_door_area*(5*Emissivity)*Difference_T_air_sky</f>
        <v>0</v>
      </c>
      <c r="L34" s="65">
        <f>+Absorption_coefficient*External_surface_heat_resistance*U_door*East_door_area*'Climate data'!L7-Form_factor_vert*External_surface_heat_resistance*U_door*East_door_area*(5*Emissivity)*Difference_T_air_sky</f>
        <v>0</v>
      </c>
      <c r="M34" s="65">
        <f>+Absorption_coefficient*External_surface_heat_resistance*U_door*East_door_area*'Climate data'!M7-Form_factor_vert*External_surface_heat_resistance*U_door*East_door_area*(5*Emissivity)*Difference_T_air_sky</f>
        <v>0</v>
      </c>
      <c r="N34" s="65">
        <f>+Absorption_coefficient*External_surface_heat_resistance*U_door*East_door_area*'Climate data'!N7-Form_factor_vert*External_surface_heat_resistance*U_door*East_door_area*(5*Emissivity)*Difference_T_air_sky</f>
        <v>0</v>
      </c>
      <c r="O34" s="65">
        <f>+Absorption_coefficient*External_surface_heat_resistance*U_door*East_door_area*'Climate data'!O7-Form_factor_vert*External_surface_heat_resistance*U_door*East_door_area*(5*Emissivity)*Difference_T_air_sky</f>
        <v>0</v>
      </c>
      <c r="P34" s="104">
        <f>+Absorption_coefficient*External_surface_heat_resistance*U_door*East_door_area*'Climate data'!P7-Form_factor_vert*External_surface_heat_resistance*U_door*East_door_area*(5*Emissivity)*Difference_T_air_sky</f>
        <v>0</v>
      </c>
      <c r="Q34" s="102"/>
    </row>
    <row r="35" spans="2:17" ht="15.75">
      <c r="B35" s="42"/>
      <c r="C35" s="46" t="s">
        <v>170</v>
      </c>
      <c r="D35" s="37" t="s">
        <v>100</v>
      </c>
      <c r="E35" s="65">
        <f>+Absorption_coefficient*External_surface_heat_resistance*U_door*South_door_area*'Climate data'!E8-Form_factor_vert*External_surface_heat_resistance*U_door*South_door_area*(5*Emissivity)*Difference_T_air_sky</f>
        <v>2.6654695340501835</v>
      </c>
      <c r="F35" s="65">
        <f>+Absorption_coefficient*External_surface_heat_resistance*U_door*South_door_area*'Climate data'!F8-Form_factor_vert*External_surface_heat_resistance*U_door*South_door_area*(5*Emissivity)*Difference_T_air_sky</f>
        <v>8.743515873015884</v>
      </c>
      <c r="G35" s="65">
        <f>+Absorption_coefficient*External_surface_heat_resistance*U_door*South_door_area*'Climate data'!G8-Form_factor_vert*External_surface_heat_resistance*U_door*South_door_area*(5*Emissivity)*Difference_T_air_sky</f>
        <v>11.97060215053765</v>
      </c>
      <c r="H35" s="65">
        <f>+Absorption_coefficient*External_surface_heat_resistance*U_door*South_door_area*'Climate data'!H8-Form_factor_vert*External_surface_heat_resistance*U_door*South_door_area*(5*Emissivity)*Difference_T_air_sky</f>
        <v>15.202488888888892</v>
      </c>
      <c r="I35" s="65">
        <f>+Absorption_coefficient*External_surface_heat_resistance*U_door*South_door_area*'Climate data'!I8-Form_factor_vert*External_surface_heat_resistance*U_door*South_door_area*(5*Emissivity)*Difference_T_air_sky</f>
        <v>15.850566308243723</v>
      </c>
      <c r="J35" s="65">
        <f>+Absorption_coefficient*External_surface_heat_resistance*U_door*South_door_area*'Climate data'!J8-Form_factor_vert*External_surface_heat_resistance*U_door*South_door_area*(5*Emissivity)*Difference_T_air_sky</f>
        <v>14.28288888888889</v>
      </c>
      <c r="K35" s="65">
        <f>+Absorption_coefficient*External_surface_heat_resistance*U_door*South_door_area*'Climate data'!K8-Form_factor_vert*External_surface_heat_resistance*U_door*South_door_area*(5*Emissivity)*Difference_T_air_sky</f>
        <v>14.962996415770606</v>
      </c>
      <c r="L35" s="65">
        <f>+Absorption_coefficient*External_surface_heat_resistance*U_door*South_door_area*'Climate data'!L8-Form_factor_vert*External_surface_heat_resistance*U_door*South_door_area*(5*Emissivity)*Difference_T_air_sky</f>
        <v>15.709892473118282</v>
      </c>
      <c r="M35" s="65">
        <f>+Absorption_coefficient*External_surface_heat_resistance*U_door*South_door_area*'Climate data'!M8-Form_factor_vert*External_surface_heat_resistance*U_door*South_door_area*(5*Emissivity)*Difference_T_air_sky</f>
        <v>15.150503703703725</v>
      </c>
      <c r="N35" s="65">
        <f>+Absorption_coefficient*External_surface_heat_resistance*U_door*South_door_area*'Climate data'!N8-Form_factor_vert*External_surface_heat_resistance*U_door*South_door_area*(5*Emissivity)*Difference_T_air_sky</f>
        <v>12.338451612903226</v>
      </c>
      <c r="O35" s="65">
        <f>+Absorption_coefficient*External_surface_heat_resistance*U_door*South_door_area*'Climate data'!O8-Form_factor_vert*External_surface_heat_resistance*U_door*South_door_area*(5*Emissivity)*Difference_T_air_sky</f>
        <v>4.631651851851853</v>
      </c>
      <c r="P35" s="104">
        <f>+Absorption_coefficient*External_surface_heat_resistance*U_door*South_door_area*'Climate data'!P8-Form_factor_vert*External_surface_heat_resistance*U_door*South_door_area*(5*Emissivity)*Difference_T_air_sky</f>
        <v>2.010043010752696</v>
      </c>
      <c r="Q35" s="102"/>
    </row>
    <row r="36" spans="2:17" ht="15.75">
      <c r="B36" s="42"/>
      <c r="C36" s="46" t="s">
        <v>171</v>
      </c>
      <c r="D36" s="37" t="s">
        <v>100</v>
      </c>
      <c r="E36" s="65">
        <f>+Absorption_coefficient*External_surface_heat_resistance*U_door*West_door_area*'Climate data'!E9-Form_factor_vert*External_surface_heat_resistance*U_door*West_door_area*(5*Emissivity)*Difference_T_air_sky</f>
        <v>0</v>
      </c>
      <c r="F36" s="65">
        <f>+Absorption_coefficient*External_surface_heat_resistance*U_door*West_door_area*'Climate data'!F9-Form_factor_vert*External_surface_heat_resistance*U_door*West_door_area*(5*Emissivity)*Difference_T_air_sky</f>
        <v>0</v>
      </c>
      <c r="G36" s="65">
        <f>+Absorption_coefficient*External_surface_heat_resistance*U_door*West_door_area*'Climate data'!G9-Form_factor_vert*External_surface_heat_resistance*U_door*West_door_area*(5*Emissivity)*Difference_T_air_sky</f>
        <v>0</v>
      </c>
      <c r="H36" s="65">
        <f>+Absorption_coefficient*External_surface_heat_resistance*U_door*West_door_area*'Climate data'!H9-Form_factor_vert*External_surface_heat_resistance*U_door*West_door_area*(5*Emissivity)*Difference_T_air_sky</f>
        <v>0</v>
      </c>
      <c r="I36" s="65">
        <f>+Absorption_coefficient*External_surface_heat_resistance*U_door*West_door_area*'Climate data'!I9-Form_factor_vert*External_surface_heat_resistance*U_door*West_door_area*(5*Emissivity)*Difference_T_air_sky</f>
        <v>0</v>
      </c>
      <c r="J36" s="65">
        <f>+Absorption_coefficient*External_surface_heat_resistance*U_door*West_door_area*'Climate data'!J9-Form_factor_vert*External_surface_heat_resistance*U_door*West_door_area*(5*Emissivity)*Difference_T_air_sky</f>
        <v>0</v>
      </c>
      <c r="K36" s="65">
        <f>+Absorption_coefficient*External_surface_heat_resistance*U_door*West_door_area*'Climate data'!K9-Form_factor_vert*External_surface_heat_resistance*U_door*West_door_area*(5*Emissivity)*Difference_T_air_sky</f>
        <v>0</v>
      </c>
      <c r="L36" s="65">
        <f>+Absorption_coefficient*External_surface_heat_resistance*U_door*West_door_area*'Climate data'!L9-Form_factor_vert*External_surface_heat_resistance*U_door*West_door_area*(5*Emissivity)*Difference_T_air_sky</f>
        <v>0</v>
      </c>
      <c r="M36" s="65">
        <f>+Absorption_coefficient*External_surface_heat_resistance*U_door*West_door_area*'Climate data'!M9-Form_factor_vert*External_surface_heat_resistance*U_door*West_door_area*(5*Emissivity)*Difference_T_air_sky</f>
        <v>0</v>
      </c>
      <c r="N36" s="65">
        <f>+Absorption_coefficient*External_surface_heat_resistance*U_door*West_door_area*'Climate data'!N9-Form_factor_vert*External_surface_heat_resistance*U_door*West_door_area*(5*Emissivity)*Difference_T_air_sky</f>
        <v>0</v>
      </c>
      <c r="O36" s="65">
        <f>+Absorption_coefficient*External_surface_heat_resistance*U_door*West_door_area*'Climate data'!O9-Form_factor_vert*External_surface_heat_resistance*U_door*West_door_area*(5*Emissivity)*Difference_T_air_sky</f>
        <v>0</v>
      </c>
      <c r="P36" s="104">
        <f>+Absorption_coefficient*External_surface_heat_resistance*U_door*West_door_area*'Climate data'!P9-Form_factor_vert*External_surface_heat_resistance*U_door*West_door_area*(5*Emissivity)*Difference_T_air_sky</f>
        <v>0</v>
      </c>
      <c r="Q36" s="102"/>
    </row>
    <row r="37" spans="2:17" ht="15.75">
      <c r="B37" s="42"/>
      <c r="C37" s="46" t="s">
        <v>172</v>
      </c>
      <c r="D37" s="37" t="s">
        <v>100</v>
      </c>
      <c r="E37" s="65">
        <f>+Absorption_coefficient*External_surface_heat_resistance*U_door*North_door_area*'Climate data'!E10-Form_factor_vert*External_surface_heat_resistance*U_door*North_door_area*(5*Emissivity)*Difference_T_air_sky</f>
        <v>-4.295756272401434</v>
      </c>
      <c r="F37" s="65">
        <f>+Absorption_coefficient*External_surface_heat_resistance*U_door*North_door_area*'Climate data'!F10-Form_factor_vert*External_surface_heat_resistance*U_door*North_door_area*(5*Emissivity)*Difference_T_air_sky</f>
        <v>-2.3832460317460313</v>
      </c>
      <c r="G37" s="65">
        <f>+Absorption_coefficient*External_surface_heat_resistance*U_door*North_door_area*'Climate data'!G10-Form_factor_vert*External_surface_heat_resistance*U_door*North_door_area*(5*Emissivity)*Difference_T_air_sky</f>
        <v>0.004573476702507406</v>
      </c>
      <c r="H37" s="65">
        <f>+Absorption_coefficient*External_surface_heat_resistance*U_door*North_door_area*'Climate data'!H10-Form_factor_vert*External_surface_heat_resistance*U_door*North_door_area*(5*Emissivity)*Difference_T_air_sky</f>
        <v>3.519592592592593</v>
      </c>
      <c r="I37" s="65">
        <f>+Absorption_coefficient*External_surface_heat_resistance*U_door*North_door_area*'Climate data'!I10-Form_factor_vert*External_surface_heat_resistance*U_door*North_door_area*(5*Emissivity)*Difference_T_air_sky</f>
        <v>7.5968602150537645</v>
      </c>
      <c r="J37" s="65">
        <f>+Absorption_coefficient*External_surface_heat_resistance*U_door*North_door_area*'Climate data'!J10-Form_factor_vert*External_surface_heat_resistance*U_door*North_door_area*(5*Emissivity)*Difference_T_air_sky</f>
        <v>8.30019259259258</v>
      </c>
      <c r="K37" s="65">
        <f>+Absorption_coefficient*External_surface_heat_resistance*U_door*North_door_area*'Climate data'!K10-Form_factor_vert*External_surface_heat_resistance*U_door*North_door_area*(5*Emissivity)*Difference_T_air_sky</f>
        <v>8.384365591397847</v>
      </c>
      <c r="L37" s="65">
        <f>+Absorption_coefficient*External_surface_heat_resistance*U_door*North_door_area*'Climate data'!L10-Form_factor_vert*External_surface_heat_resistance*U_door*North_door_area*(5*Emissivity)*Difference_T_air_sky</f>
        <v>5.5984086021505295</v>
      </c>
      <c r="M37" s="65">
        <f>+Absorption_coefficient*External_surface_heat_resistance*U_door*North_door_area*'Climate data'!M10-Form_factor_vert*External_surface_heat_resistance*U_door*North_door_area*(5*Emissivity)*Difference_T_air_sky</f>
        <v>1.578622222222224</v>
      </c>
      <c r="N37" s="65">
        <f>+Absorption_coefficient*External_surface_heat_resistance*U_door*North_door_area*'Climate data'!N10-Form_factor_vert*External_surface_heat_resistance*U_door*North_door_area*(5*Emissivity)*Difference_T_air_sky</f>
        <v>-1.4546810035842288</v>
      </c>
      <c r="O37" s="65">
        <f>+Absorption_coefficient*External_surface_heat_resistance*U_door*North_door_area*'Climate data'!O10-Form_factor_vert*External_surface_heat_resistance*U_door*North_door_area*(5*Emissivity)*Difference_T_air_sky</f>
        <v>-3.8099111111111132</v>
      </c>
      <c r="P37" s="104">
        <f>+Absorption_coefficient*External_surface_heat_resistance*U_door*North_door_area*'Climate data'!P10-Form_factor_vert*External_surface_heat_resistance*U_door*North_door_area*(5*Emissivity)*Difference_T_air_sky</f>
        <v>-4.834086021505377</v>
      </c>
      <c r="Q37" s="102"/>
    </row>
    <row r="38" spans="2:17" ht="16.5" thickBot="1">
      <c r="B38" s="42"/>
      <c r="C38" s="49" t="s">
        <v>99</v>
      </c>
      <c r="D38" s="79" t="s">
        <v>100</v>
      </c>
      <c r="E38" s="98">
        <f>+Absorption_coefficient*External_surface_heat_resistance*U_opaque_roof*Roof_area*'Climate data'!E11-Form_factor_hor*External_surface_heat_resistance*U_opaque_roof*Roof_area*(5*Emissivity)*Difference_T_air_sky</f>
        <v>-11.070703213859025</v>
      </c>
      <c r="F38" s="98">
        <f>+Absorption_coefficient*External_surface_heat_resistance*U_opaque_roof*Roof_area*'Climate data'!F11-Form_factor_hor*External_surface_heat_resistance*U_opaque_roof*Roof_area*(5*Emissivity)*Difference_T_air_sky</f>
        <v>-2.1826404312169423</v>
      </c>
      <c r="G38" s="98">
        <f>+Absorption_coefficient*External_surface_heat_resistance*U_opaque_roof*Roof_area*'Climate data'!G11-Form_factor_hor*External_surface_heat_resistance*U_opaque_roof*Roof_area*(5*Emissivity)*Difference_T_air_sky</f>
        <v>8.610994676224614</v>
      </c>
      <c r="H38" s="98">
        <f>+Absorption_coefficient*External_surface_heat_resistance*U_opaque_roof*Roof_area*'Climate data'!H11-Form_factor_hor*External_surface_heat_resistance*U_opaque_roof*Roof_area*(5*Emissivity)*Difference_T_air_sky</f>
        <v>25.434746067901234</v>
      </c>
      <c r="I38" s="98">
        <f>+Absorption_coefficient*External_surface_heat_resistance*U_opaque_roof*Roof_area*'Climate data'!I11-Form_factor_hor*External_surface_heat_resistance*U_opaque_roof*Roof_area*(5*Emissivity)*Difference_T_air_sky</f>
        <v>40.037166765830335</v>
      </c>
      <c r="J38" s="98">
        <f>+Absorption_coefficient*External_surface_heat_resistance*U_opaque_roof*Roof_area*'Climate data'!J11-Form_factor_hor*External_surface_heat_resistance*U_opaque_roof*Roof_area*(5*Emissivity)*Difference_T_air_sky</f>
        <v>42.57719054320988</v>
      </c>
      <c r="K38" s="98">
        <f>+Absorption_coefficient*External_surface_heat_resistance*U_opaque_roof*Roof_area*'Climate data'!K11-Form_factor_hor*External_surface_heat_resistance*U_opaque_roof*Roof_area*(5*Emissivity)*Difference_T_air_sky</f>
        <v>40.98921642771805</v>
      </c>
      <c r="L38" s="98">
        <f>+Absorption_coefficient*External_surface_heat_resistance*U_opaque_roof*Roof_area*'Climate data'!L11-Form_factor_hor*External_surface_heat_resistance*U_opaque_roof*Roof_area*(5*Emissivity)*Difference_T_air_sky</f>
        <v>33.05140015053763</v>
      </c>
      <c r="M38" s="98">
        <f>+Absorption_coefficient*External_surface_heat_resistance*U_opaque_roof*Roof_area*'Climate data'!M11-Form_factor_hor*External_surface_heat_resistance*U_opaque_roof*Roof_area*(5*Emissivity)*Difference_T_air_sky</f>
        <v>17.498703600000002</v>
      </c>
      <c r="N38" s="98">
        <f>+Absorption_coefficient*External_surface_heat_resistance*U_opaque_roof*Roof_area*'Climate data'!N11-Form_factor_hor*External_surface_heat_resistance*U_opaque_roof*Roof_area*(5*Emissivity)*Difference_T_air_sky</f>
        <v>3.2128861302270018</v>
      </c>
      <c r="O38" s="98">
        <f>+Absorption_coefficient*External_surface_heat_resistance*U_opaque_roof*Roof_area*'Climate data'!O11-Form_factor_hor*External_surface_heat_resistance*U_opaque_roof*Roof_area*(5*Emissivity)*Difference_T_air_sky</f>
        <v>-8.84928560740741</v>
      </c>
      <c r="P38" s="80">
        <f>+Absorption_coefficient*External_surface_heat_resistance*U_opaque_roof*Roof_area*'Climate data'!P11-Form_factor_hor*External_surface_heat_resistance*U_opaque_roof*Roof_area*(5*Emissivity)*Difference_T_air_sky</f>
        <v>-12.975158089605738</v>
      </c>
      <c r="Q38" s="102"/>
    </row>
    <row r="39" spans="2:17" ht="16.5" thickBot="1">
      <c r="B39" s="42"/>
      <c r="C39" s="105" t="s">
        <v>101</v>
      </c>
      <c r="D39" s="106" t="s">
        <v>1</v>
      </c>
      <c r="E39" s="107">
        <f>SUM(E26:E38)*Length_of_month</f>
        <v>614.1892845440003</v>
      </c>
      <c r="F39" s="107">
        <f aca="true" t="shared" si="3" ref="F39:P39">SUM(F26:F38)*Length_of_month</f>
        <v>1177.0139485648008</v>
      </c>
      <c r="G39" s="107">
        <f t="shared" si="3"/>
        <v>1825.1098145088013</v>
      </c>
      <c r="H39" s="107">
        <f t="shared" si="3"/>
        <v>2376.1602876480006</v>
      </c>
      <c r="I39" s="107">
        <f t="shared" si="3"/>
        <v>2951.2177143376007</v>
      </c>
      <c r="J39" s="107">
        <f t="shared" si="3"/>
        <v>2799.0823013439995</v>
      </c>
      <c r="K39" s="107">
        <f t="shared" si="3"/>
        <v>2933.7081870639995</v>
      </c>
      <c r="L39" s="107">
        <f t="shared" si="3"/>
        <v>2702.9885941711996</v>
      </c>
      <c r="M39" s="107">
        <f t="shared" si="3"/>
        <v>2180.118418035202</v>
      </c>
      <c r="N39" s="107">
        <f t="shared" si="3"/>
        <v>1696.3462894831996</v>
      </c>
      <c r="O39" s="107">
        <f t="shared" si="3"/>
        <v>787.1874668176002</v>
      </c>
      <c r="P39" s="108">
        <f t="shared" si="3"/>
        <v>506.60045985280055</v>
      </c>
      <c r="Q39" s="102"/>
    </row>
    <row r="40" spans="2:17" ht="13.5" thickBot="1">
      <c r="B40" s="42"/>
      <c r="C40" s="28"/>
      <c r="D40" s="37"/>
      <c r="E40" s="61"/>
      <c r="F40" s="61"/>
      <c r="G40" s="61"/>
      <c r="H40" s="61"/>
      <c r="I40" s="61"/>
      <c r="J40" s="61"/>
      <c r="K40" s="61"/>
      <c r="L40" s="61"/>
      <c r="M40" s="61"/>
      <c r="N40" s="61"/>
      <c r="O40" s="61"/>
      <c r="P40" s="61"/>
      <c r="Q40" s="102"/>
    </row>
    <row r="41" spans="2:17" ht="12.75">
      <c r="B41" s="42"/>
      <c r="C41" s="93" t="s">
        <v>111</v>
      </c>
      <c r="D41" s="99"/>
      <c r="E41" s="100"/>
      <c r="F41" s="100"/>
      <c r="G41" s="100"/>
      <c r="H41" s="100"/>
      <c r="I41" s="100"/>
      <c r="J41" s="100"/>
      <c r="K41" s="100"/>
      <c r="L41" s="100"/>
      <c r="M41" s="100"/>
      <c r="N41" s="100"/>
      <c r="O41" s="100"/>
      <c r="P41" s="101"/>
      <c r="Q41" s="102"/>
    </row>
    <row r="42" spans="2:17" ht="15.75">
      <c r="B42" s="42"/>
      <c r="C42" s="46" t="s">
        <v>112</v>
      </c>
      <c r="D42" s="28" t="s">
        <v>1</v>
      </c>
      <c r="E42" s="109">
        <f aca="true" t="shared" si="4" ref="E42:P42">Qt_H+Qv_H</f>
        <v>9544.499848466998</v>
      </c>
      <c r="F42" s="109">
        <f t="shared" si="4"/>
        <v>8250.902160740998</v>
      </c>
      <c r="G42" s="109">
        <f t="shared" si="4"/>
        <v>7687.508575796997</v>
      </c>
      <c r="H42" s="109">
        <f t="shared" si="4"/>
        <v>5764.057381061998</v>
      </c>
      <c r="I42" s="109">
        <f t="shared" si="4"/>
        <v>3642.625576385995</v>
      </c>
      <c r="J42" s="109">
        <f t="shared" si="4"/>
        <v>1956.5645594129974</v>
      </c>
      <c r="K42" s="109">
        <f t="shared" si="4"/>
        <v>1038.873518595004</v>
      </c>
      <c r="L42" s="109">
        <f t="shared" si="4"/>
        <v>1156.5581057369895</v>
      </c>
      <c r="M42" s="109">
        <f t="shared" si="4"/>
        <v>2575.458009099001</v>
      </c>
      <c r="N42" s="109">
        <f t="shared" si="4"/>
        <v>4972.834519424998</v>
      </c>
      <c r="O42" s="109">
        <f t="shared" si="4"/>
        <v>7274.057902739998</v>
      </c>
      <c r="P42" s="47">
        <f t="shared" si="4"/>
        <v>9021.992718500998</v>
      </c>
      <c r="Q42" s="102"/>
    </row>
    <row r="43" spans="2:17" ht="16.5" thickBot="1">
      <c r="B43" s="42"/>
      <c r="C43" s="49" t="s">
        <v>104</v>
      </c>
      <c r="D43" s="79" t="s">
        <v>1</v>
      </c>
      <c r="E43" s="98">
        <f>Qsol_H+Qi_H</f>
        <v>2693.5383405439998</v>
      </c>
      <c r="F43" s="98">
        <f aca="true" t="shared" si="5" ref="F43:P43">Qsol_H+Qi_H</f>
        <v>3055.1356765648006</v>
      </c>
      <c r="G43" s="98">
        <f t="shared" si="5"/>
        <v>3904.458870508801</v>
      </c>
      <c r="H43" s="98">
        <f t="shared" si="5"/>
        <v>4388.4335676480005</v>
      </c>
      <c r="I43" s="98">
        <f t="shared" si="5"/>
        <v>5030.5667703376</v>
      </c>
      <c r="J43" s="98">
        <f t="shared" si="5"/>
        <v>4811.355581344</v>
      </c>
      <c r="K43" s="98">
        <f t="shared" si="5"/>
        <v>5013.057243063999</v>
      </c>
      <c r="L43" s="98">
        <f t="shared" si="5"/>
        <v>4782.337650171199</v>
      </c>
      <c r="M43" s="98">
        <f t="shared" si="5"/>
        <v>4192.391698035202</v>
      </c>
      <c r="N43" s="98">
        <f t="shared" si="5"/>
        <v>3775.695345483199</v>
      </c>
      <c r="O43" s="98">
        <f t="shared" si="5"/>
        <v>2799.4607468176</v>
      </c>
      <c r="P43" s="80">
        <f t="shared" si="5"/>
        <v>2585.9495158528002</v>
      </c>
      <c r="Q43" s="44"/>
    </row>
    <row r="44" spans="2:17" ht="13.5" thickBot="1">
      <c r="B44" s="42"/>
      <c r="C44" s="37"/>
      <c r="D44" s="37"/>
      <c r="E44" s="61"/>
      <c r="F44" s="61"/>
      <c r="G44" s="61"/>
      <c r="H44" s="61"/>
      <c r="I44" s="61"/>
      <c r="J44" s="61"/>
      <c r="K44" s="61"/>
      <c r="L44" s="61"/>
      <c r="M44" s="61"/>
      <c r="N44" s="61"/>
      <c r="O44" s="61"/>
      <c r="P44" s="61"/>
      <c r="Q44" s="44"/>
    </row>
    <row r="45" spans="2:17" ht="12.75">
      <c r="B45" s="42"/>
      <c r="C45" s="93" t="s">
        <v>113</v>
      </c>
      <c r="D45" s="94"/>
      <c r="E45" s="95"/>
      <c r="F45" s="95"/>
      <c r="G45" s="95"/>
      <c r="H45" s="95"/>
      <c r="I45" s="95"/>
      <c r="J45" s="95"/>
      <c r="K45" s="95"/>
      <c r="L45" s="95"/>
      <c r="M45" s="95"/>
      <c r="N45" s="95"/>
      <c r="O45" s="95"/>
      <c r="P45" s="96"/>
      <c r="Q45" s="44"/>
    </row>
    <row r="46" spans="2:17" ht="12.75">
      <c r="B46" s="42"/>
      <c r="C46" s="46" t="s">
        <v>120</v>
      </c>
      <c r="D46" s="28" t="s">
        <v>3</v>
      </c>
      <c r="E46" s="115">
        <f aca="true" t="shared" si="6" ref="E46:P46">+(Building_mass*Total_usable_area/3600)/(Ht_H+Hv_H)</f>
        <v>61.58979009931224</v>
      </c>
      <c r="F46" s="115">
        <f t="shared" si="6"/>
        <v>61.58979009931224</v>
      </c>
      <c r="G46" s="115">
        <f t="shared" si="6"/>
        <v>61.58979009931224</v>
      </c>
      <c r="H46" s="115">
        <f t="shared" si="6"/>
        <v>61.58979009931224</v>
      </c>
      <c r="I46" s="115">
        <f t="shared" si="6"/>
        <v>61.58979009931224</v>
      </c>
      <c r="J46" s="115">
        <f t="shared" si="6"/>
        <v>61.58979009931224</v>
      </c>
      <c r="K46" s="115">
        <f t="shared" si="6"/>
        <v>61.58979009931224</v>
      </c>
      <c r="L46" s="115">
        <f t="shared" si="6"/>
        <v>61.58979009931224</v>
      </c>
      <c r="M46" s="115">
        <f t="shared" si="6"/>
        <v>61.58979009931224</v>
      </c>
      <c r="N46" s="115">
        <f t="shared" si="6"/>
        <v>61.58979009931224</v>
      </c>
      <c r="O46" s="115">
        <f t="shared" si="6"/>
        <v>61.58979009931224</v>
      </c>
      <c r="P46" s="116">
        <f t="shared" si="6"/>
        <v>61.58979009931224</v>
      </c>
      <c r="Q46" s="44"/>
    </row>
    <row r="47" spans="2:17" ht="15.75">
      <c r="B47" s="42"/>
      <c r="C47" s="46" t="s">
        <v>121</v>
      </c>
      <c r="D47" s="114" t="s">
        <v>0</v>
      </c>
      <c r="E47" s="115">
        <f aca="true" t="shared" si="7" ref="E47:P47">+a_0H+(tau_H/tau_0H)</f>
        <v>5.105986006620816</v>
      </c>
      <c r="F47" s="115">
        <f t="shared" si="7"/>
        <v>5.105986006620816</v>
      </c>
      <c r="G47" s="115">
        <f t="shared" si="7"/>
        <v>5.105986006620816</v>
      </c>
      <c r="H47" s="115">
        <f t="shared" si="7"/>
        <v>5.105986006620816</v>
      </c>
      <c r="I47" s="115">
        <f t="shared" si="7"/>
        <v>5.105986006620816</v>
      </c>
      <c r="J47" s="115">
        <f t="shared" si="7"/>
        <v>5.105986006620816</v>
      </c>
      <c r="K47" s="115">
        <f t="shared" si="7"/>
        <v>5.105986006620816</v>
      </c>
      <c r="L47" s="115">
        <f t="shared" si="7"/>
        <v>5.105986006620816</v>
      </c>
      <c r="M47" s="115">
        <f t="shared" si="7"/>
        <v>5.105986006620816</v>
      </c>
      <c r="N47" s="115">
        <f t="shared" si="7"/>
        <v>5.105986006620816</v>
      </c>
      <c r="O47" s="115">
        <f t="shared" si="7"/>
        <v>5.105986006620816</v>
      </c>
      <c r="P47" s="116">
        <f t="shared" si="7"/>
        <v>5.105986006620816</v>
      </c>
      <c r="Q47" s="44"/>
    </row>
    <row r="48" spans="2:17" ht="15.75">
      <c r="B48" s="42"/>
      <c r="C48" s="46" t="s">
        <v>122</v>
      </c>
      <c r="D48" s="114" t="s">
        <v>0</v>
      </c>
      <c r="E48" s="57">
        <f aca="true" t="shared" si="8" ref="E48:P48">+QGH/QLH</f>
        <v>0.28220843242787896</v>
      </c>
      <c r="F48" s="57">
        <f t="shared" si="8"/>
        <v>0.3702789848971406</v>
      </c>
      <c r="G48" s="57">
        <f t="shared" si="8"/>
        <v>0.5078965222622869</v>
      </c>
      <c r="H48" s="57">
        <f t="shared" si="8"/>
        <v>0.7613445317297404</v>
      </c>
      <c r="I48" s="57">
        <f t="shared" si="8"/>
        <v>1.3810276858948103</v>
      </c>
      <c r="J48" s="57">
        <f t="shared" si="8"/>
        <v>2.459083477821702</v>
      </c>
      <c r="K48" s="57">
        <f t="shared" si="8"/>
        <v>4.825474086435248</v>
      </c>
      <c r="L48" s="57">
        <f t="shared" si="8"/>
        <v>4.134973959759477</v>
      </c>
      <c r="M48" s="57">
        <f t="shared" si="8"/>
        <v>1.6278237436695269</v>
      </c>
      <c r="N48" s="57">
        <f t="shared" si="8"/>
        <v>0.7592642246056034</v>
      </c>
      <c r="O48" s="57">
        <f t="shared" si="8"/>
        <v>0.3848554389102535</v>
      </c>
      <c r="P48" s="97">
        <f t="shared" si="8"/>
        <v>0.2866273113421948</v>
      </c>
      <c r="Q48" s="44"/>
    </row>
    <row r="49" spans="2:17" ht="16.5" thickBot="1">
      <c r="B49" s="42"/>
      <c r="C49" s="46" t="s">
        <v>115</v>
      </c>
      <c r="D49" s="114" t="s">
        <v>0</v>
      </c>
      <c r="E49" s="117">
        <f aca="true" t="shared" si="9" ref="E49:P49">+IF(gamma_H=1,(aH/(aH+1)),IF(gamma_H&lt;=0,(1/gamma_H),(1-POWER(gamma_H,aH))/(1-POWER(gamma_H,(aH+1)))))</f>
        <v>0.9988758913544535</v>
      </c>
      <c r="F49" s="117">
        <f t="shared" si="9"/>
        <v>0.9960456759109219</v>
      </c>
      <c r="G49" s="117">
        <f t="shared" si="9"/>
        <v>0.9842694746819035</v>
      </c>
      <c r="H49" s="117">
        <f t="shared" si="9"/>
        <v>0.9268495998551629</v>
      </c>
      <c r="I49" s="117">
        <f t="shared" si="9"/>
        <v>0.679448131776615</v>
      </c>
      <c r="J49" s="117">
        <f t="shared" si="9"/>
        <v>0.40420628508159473</v>
      </c>
      <c r="K49" s="117">
        <f t="shared" si="9"/>
        <v>0.20718037579193116</v>
      </c>
      <c r="L49" s="117">
        <f t="shared" si="9"/>
        <v>0.24170897615134096</v>
      </c>
      <c r="M49" s="117">
        <f t="shared" si="9"/>
        <v>0.5935722064642192</v>
      </c>
      <c r="N49" s="117">
        <f t="shared" si="9"/>
        <v>0.927515918767537</v>
      </c>
      <c r="O49" s="117">
        <f t="shared" si="9"/>
        <v>0.9952925049291603</v>
      </c>
      <c r="P49" s="118">
        <f t="shared" si="9"/>
        <v>0.9987905203036062</v>
      </c>
      <c r="Q49" s="44"/>
    </row>
    <row r="50" spans="2:17" ht="16.5" thickBot="1">
      <c r="B50" s="42"/>
      <c r="C50" s="105" t="s">
        <v>114</v>
      </c>
      <c r="D50" s="106" t="s">
        <v>1</v>
      </c>
      <c r="E50" s="107">
        <f>MAX(QLH-(eta_GH*QGH),0)</f>
        <v>6853.989337658714</v>
      </c>
      <c r="F50" s="107">
        <f aca="true" t="shared" si="10" ref="F50:P50">MAX(QLH-(eta_GH*QGH),0)</f>
        <v>5207.847480777439</v>
      </c>
      <c r="G50" s="107">
        <f t="shared" si="10"/>
        <v>3844.468894404202</v>
      </c>
      <c r="H50" s="107">
        <f t="shared" si="10"/>
        <v>1696.6394848964837</v>
      </c>
      <c r="I50" s="107">
        <f t="shared" si="10"/>
        <v>224.6163825025924</v>
      </c>
      <c r="J50" s="107">
        <f t="shared" si="10"/>
        <v>11.784393671342741</v>
      </c>
      <c r="K50" s="107">
        <f t="shared" si="10"/>
        <v>0.2664351105424885</v>
      </c>
      <c r="L50" s="107">
        <f t="shared" si="10"/>
        <v>0.6241687040992474</v>
      </c>
      <c r="M50" s="107">
        <f t="shared" si="10"/>
        <v>86.97081853397185</v>
      </c>
      <c r="N50" s="107">
        <f t="shared" si="10"/>
        <v>1470.8169820728353</v>
      </c>
      <c r="O50" s="107">
        <f t="shared" si="10"/>
        <v>4487.775603589051</v>
      </c>
      <c r="P50" s="108">
        <f t="shared" si="10"/>
        <v>6439.170856083521</v>
      </c>
      <c r="Q50" s="119"/>
    </row>
    <row r="51" spans="2:17" s="92" customFormat="1" ht="13.5" thickBot="1">
      <c r="B51" s="86"/>
      <c r="C51" s="28"/>
      <c r="D51" s="28"/>
      <c r="E51" s="109"/>
      <c r="F51" s="109"/>
      <c r="G51" s="109"/>
      <c r="H51" s="109"/>
      <c r="I51" s="109"/>
      <c r="J51" s="109"/>
      <c r="K51" s="109"/>
      <c r="L51" s="109"/>
      <c r="M51" s="109"/>
      <c r="N51" s="109"/>
      <c r="O51" s="109"/>
      <c r="P51" s="109"/>
      <c r="Q51" s="91"/>
    </row>
    <row r="52" spans="2:17" s="92" customFormat="1" ht="12.75">
      <c r="B52" s="86"/>
      <c r="C52" s="121" t="s">
        <v>123</v>
      </c>
      <c r="D52" s="122"/>
      <c r="E52" s="123"/>
      <c r="F52" s="124"/>
      <c r="K52" s="124"/>
      <c r="L52" s="124"/>
      <c r="M52" s="124"/>
      <c r="N52" s="124"/>
      <c r="O52" s="124"/>
      <c r="P52" s="124"/>
      <c r="Q52" s="91"/>
    </row>
    <row r="53" spans="2:17" s="92" customFormat="1" ht="15.75">
      <c r="B53" s="86"/>
      <c r="C53" s="46" t="s">
        <v>114</v>
      </c>
      <c r="D53" s="28" t="s">
        <v>1</v>
      </c>
      <c r="E53" s="47">
        <f>SUM(E50:P50)</f>
        <v>30324.9708380048</v>
      </c>
      <c r="F53" s="109"/>
      <c r="K53" s="109"/>
      <c r="L53" s="109"/>
      <c r="M53" s="109"/>
      <c r="N53" s="109"/>
      <c r="O53" s="109"/>
      <c r="P53" s="109"/>
      <c r="Q53" s="91"/>
    </row>
    <row r="54" spans="2:17" s="92" customFormat="1" ht="15.75">
      <c r="B54" s="86"/>
      <c r="C54" s="46" t="s">
        <v>125</v>
      </c>
      <c r="D54" s="28" t="s">
        <v>1</v>
      </c>
      <c r="E54" s="47">
        <f>QNH/Heating_system_efficiency</f>
        <v>33694.41204222755</v>
      </c>
      <c r="F54" s="109"/>
      <c r="G54" s="109"/>
      <c r="H54" s="109"/>
      <c r="I54" s="109"/>
      <c r="J54" s="109"/>
      <c r="K54" s="109"/>
      <c r="L54" s="109"/>
      <c r="M54" s="109"/>
      <c r="N54" s="109"/>
      <c r="O54" s="109"/>
      <c r="P54" s="109"/>
      <c r="Q54" s="91"/>
    </row>
    <row r="55" spans="2:17" s="92" customFormat="1" ht="16.5" thickBot="1">
      <c r="B55" s="86"/>
      <c r="C55" s="49" t="s">
        <v>126</v>
      </c>
      <c r="D55" s="50" t="s">
        <v>124</v>
      </c>
      <c r="E55" s="51">
        <f>+IF(Heating_energy_type=1,Energy_conversion_factor_gas,IF(Heating_energy_type=2,Energy_conversion_factor_electricity,IF(Heating_energy_type=3,Input_energy_conversion_factor_heating," ")))*Q_genH</f>
        <v>33694.41204222755</v>
      </c>
      <c r="F55" s="109"/>
      <c r="G55" s="109"/>
      <c r="H55" s="109"/>
      <c r="I55" s="109"/>
      <c r="J55" s="109"/>
      <c r="K55" s="109"/>
      <c r="L55" s="109"/>
      <c r="M55" s="109"/>
      <c r="N55" s="109"/>
      <c r="O55" s="109"/>
      <c r="P55" s="109"/>
      <c r="Q55" s="91"/>
    </row>
    <row r="56" spans="2:17" s="92" customFormat="1" ht="13.5" thickBot="1">
      <c r="B56" s="125"/>
      <c r="C56" s="126"/>
      <c r="D56" s="126"/>
      <c r="E56" s="127"/>
      <c r="F56" s="127"/>
      <c r="G56" s="127"/>
      <c r="H56" s="127"/>
      <c r="I56" s="127"/>
      <c r="J56" s="127"/>
      <c r="K56" s="127"/>
      <c r="L56" s="127"/>
      <c r="M56" s="127"/>
      <c r="N56" s="127"/>
      <c r="O56" s="127"/>
      <c r="P56" s="127"/>
      <c r="Q56" s="128"/>
    </row>
    <row r="57" spans="1:17" s="92" customFormat="1" ht="14.25" thickBot="1" thickTop="1">
      <c r="A57" s="28"/>
      <c r="B57" s="126"/>
      <c r="C57" s="126"/>
      <c r="D57" s="126"/>
      <c r="E57" s="127"/>
      <c r="F57" s="127"/>
      <c r="G57" s="127"/>
      <c r="H57" s="127"/>
      <c r="I57" s="127"/>
      <c r="J57" s="127"/>
      <c r="K57" s="127"/>
      <c r="L57" s="127"/>
      <c r="M57" s="127"/>
      <c r="N57" s="127"/>
      <c r="O57" s="127"/>
      <c r="P57" s="127"/>
      <c r="Q57" s="189"/>
    </row>
    <row r="58" spans="2:17" s="92" customFormat="1" ht="15" thickTop="1">
      <c r="B58" s="45" t="s">
        <v>194</v>
      </c>
      <c r="C58" s="28"/>
      <c r="D58" s="28"/>
      <c r="E58" s="109"/>
      <c r="F58" s="109"/>
      <c r="G58" s="109"/>
      <c r="H58" s="109"/>
      <c r="I58" s="109"/>
      <c r="J58" s="109"/>
      <c r="K58" s="109"/>
      <c r="L58" s="109"/>
      <c r="M58" s="109"/>
      <c r="N58" s="109"/>
      <c r="O58" s="109"/>
      <c r="P58" s="109"/>
      <c r="Q58" s="91"/>
    </row>
    <row r="59" spans="2:17" s="92" customFormat="1" ht="13.5" thickBot="1">
      <c r="B59" s="86"/>
      <c r="C59" s="28"/>
      <c r="D59" s="28"/>
      <c r="E59" s="109"/>
      <c r="F59" s="109"/>
      <c r="G59" s="109"/>
      <c r="H59" s="109"/>
      <c r="I59" s="109"/>
      <c r="J59" s="109"/>
      <c r="K59" s="109"/>
      <c r="L59" s="109"/>
      <c r="M59" s="109"/>
      <c r="N59" s="109"/>
      <c r="O59" s="109"/>
      <c r="P59" s="109"/>
      <c r="Q59" s="91"/>
    </row>
    <row r="60" spans="2:17" s="92" customFormat="1" ht="12.75">
      <c r="B60" s="86"/>
      <c r="C60" s="181" t="s">
        <v>189</v>
      </c>
      <c r="D60" s="182"/>
      <c r="E60" s="183"/>
      <c r="F60" s="183"/>
      <c r="G60" s="183"/>
      <c r="H60" s="183"/>
      <c r="I60" s="183"/>
      <c r="J60" s="183"/>
      <c r="K60" s="183"/>
      <c r="L60" s="183"/>
      <c r="M60" s="183"/>
      <c r="N60" s="183"/>
      <c r="O60" s="183"/>
      <c r="P60" s="184"/>
      <c r="Q60" s="91"/>
    </row>
    <row r="61" spans="2:17" s="92" customFormat="1" ht="15.75">
      <c r="B61" s="86"/>
      <c r="C61" s="46" t="s">
        <v>190</v>
      </c>
      <c r="D61" s="28" t="s">
        <v>49</v>
      </c>
      <c r="E61" s="109">
        <f>AVERAGE('Climate data'!E$7:E$10)</f>
        <v>22.665583930704905</v>
      </c>
      <c r="F61" s="109">
        <f>AVERAGE('Climate data'!F$7:F$10)</f>
        <v>40.903811177248684</v>
      </c>
      <c r="G61" s="109">
        <f>AVERAGE('Climate data'!G$7:G$10)</f>
        <v>58.305798237753905</v>
      </c>
      <c r="H61" s="109">
        <f>AVERAGE('Climate data'!H$7:H$10)</f>
        <v>79.36930941358025</v>
      </c>
      <c r="I61" s="109">
        <f>AVERAGE('Climate data'!I$7:I$10)</f>
        <v>99.25272550776583</v>
      </c>
      <c r="J61" s="109">
        <f>AVERAGE('Climate data'!J$7:J$10)</f>
        <v>97.91830632716051</v>
      </c>
      <c r="K61" s="109">
        <f>AVERAGE('Climate data'!K$7:K$10)</f>
        <v>98.17484318996412</v>
      </c>
      <c r="L61" s="109">
        <f>AVERAGE('Climate data'!L$7:L$10)</f>
        <v>89.53134333930699</v>
      </c>
      <c r="M61" s="109">
        <f>AVERAGE('Climate data'!M$7:M$10)</f>
        <v>70.20032793209879</v>
      </c>
      <c r="N61" s="109">
        <f>AVERAGE('Climate data'!N$7:N$10)</f>
        <v>51.42202434289128</v>
      </c>
      <c r="O61" s="109">
        <f>AVERAGE('Climate data'!O$7:O$10)</f>
        <v>27.14891975308642</v>
      </c>
      <c r="P61" s="47">
        <f>AVERAGE('Climate data'!P$7:P$10)</f>
        <v>19.146878733572294</v>
      </c>
      <c r="Q61" s="91"/>
    </row>
    <row r="62" spans="2:17" s="92" customFormat="1" ht="15.75">
      <c r="B62" s="86"/>
      <c r="C62" s="46" t="s">
        <v>121</v>
      </c>
      <c r="D62" s="114" t="s">
        <v>0</v>
      </c>
      <c r="E62" s="109">
        <f>CSI_a1-CSI_a2*(Tset_heating-'Climate data'!E$6)</f>
        <v>217.4805107526882</v>
      </c>
      <c r="F62" s="109">
        <f>CSI_a1-CSI_a2*(Tset_heating-'Climate data'!F$6)</f>
        <v>221.0215773809524</v>
      </c>
      <c r="G62" s="109">
        <f>CSI_a1-CSI_a2*(Tset_heating-'Climate data'!G$6)</f>
        <v>233.53561827956992</v>
      </c>
      <c r="H62" s="109">
        <f>CSI_a1-CSI_a2*(Tset_heating-'Climate data'!H$6)</f>
        <v>248.50416666666666</v>
      </c>
      <c r="I62" s="109">
        <f>CSI_a1-CSI_a2*(Tset_heating-'Climate data'!I$6)</f>
        <v>268.5067204301076</v>
      </c>
      <c r="J62" s="109">
        <f>CSI_a1-CSI_a2*(Tset_heating-'Climate data'!J$6)</f>
        <v>282.52013888888894</v>
      </c>
      <c r="K62" s="109">
        <f>CSI_a1-CSI_a2*(Tset_heating-'Climate data'!K$6)</f>
        <v>291.0181451612903</v>
      </c>
      <c r="L62" s="109">
        <f>CSI_a1-CSI_a2*(Tset_heating-'Climate data'!L$6)</f>
        <v>290.00067204301087</v>
      </c>
      <c r="M62" s="109">
        <f>CSI_a1-CSI_a2*(Tset_heating-'Climate data'!M$6)</f>
        <v>276.99097222222224</v>
      </c>
      <c r="N62" s="109">
        <f>CSI_a1-CSI_a2*(Tset_heating-'Climate data'!N$6)</f>
        <v>257.00604838709677</v>
      </c>
      <c r="O62" s="109">
        <f>CSI_a1-CSI_a2*(Tset_heating-'Climate data'!O$6)</f>
        <v>235.01388888888889</v>
      </c>
      <c r="P62" s="47">
        <f>CSI_a1-CSI_a2*(Tset_heating-'Climate data'!P$6)</f>
        <v>221.99798387096774</v>
      </c>
      <c r="Q62" s="91"/>
    </row>
    <row r="63" spans="2:17" s="92" customFormat="1" ht="15.75">
      <c r="B63" s="86"/>
      <c r="C63" s="46" t="s">
        <v>192</v>
      </c>
      <c r="D63" s="114" t="s">
        <v>0</v>
      </c>
      <c r="E63" s="109">
        <f aca="true" t="shared" si="11" ref="E63:P63">CSI_b1-CSI_b2*E$61</f>
        <v>11.546688321385902</v>
      </c>
      <c r="F63" s="109">
        <f t="shared" si="11"/>
        <v>11.181923776455026</v>
      </c>
      <c r="G63" s="109">
        <f t="shared" si="11"/>
        <v>10.833884035244921</v>
      </c>
      <c r="H63" s="109">
        <f t="shared" si="11"/>
        <v>10.412613811728395</v>
      </c>
      <c r="I63" s="109">
        <f t="shared" si="11"/>
        <v>10.014945489844683</v>
      </c>
      <c r="J63" s="109">
        <f t="shared" si="11"/>
        <v>10.04163387345679</v>
      </c>
      <c r="K63" s="109">
        <f t="shared" si="11"/>
        <v>10.036503136200718</v>
      </c>
      <c r="L63" s="109">
        <f t="shared" si="11"/>
        <v>10.20937313321386</v>
      </c>
      <c r="M63" s="109">
        <f t="shared" si="11"/>
        <v>10.595993441358024</v>
      </c>
      <c r="N63" s="109">
        <f t="shared" si="11"/>
        <v>10.971559513142175</v>
      </c>
      <c r="O63" s="109">
        <f t="shared" si="11"/>
        <v>11.457021604938271</v>
      </c>
      <c r="P63" s="47">
        <f t="shared" si="11"/>
        <v>11.617062425328553</v>
      </c>
      <c r="Q63" s="91"/>
    </row>
    <row r="64" spans="2:17" s="92" customFormat="1" ht="15.75">
      <c r="B64" s="86"/>
      <c r="C64" s="46" t="s">
        <v>193</v>
      </c>
      <c r="D64" s="114" t="s">
        <v>0</v>
      </c>
      <c r="E64" s="109">
        <f aca="true" t="shared" si="12" ref="E64:P64">CSI_c</f>
        <v>800</v>
      </c>
      <c r="F64" s="109">
        <f t="shared" si="12"/>
        <v>800</v>
      </c>
      <c r="G64" s="109">
        <f t="shared" si="12"/>
        <v>800</v>
      </c>
      <c r="H64" s="109">
        <f t="shared" si="12"/>
        <v>800</v>
      </c>
      <c r="I64" s="109">
        <f t="shared" si="12"/>
        <v>800</v>
      </c>
      <c r="J64" s="109">
        <f t="shared" si="12"/>
        <v>800</v>
      </c>
      <c r="K64" s="109">
        <f t="shared" si="12"/>
        <v>800</v>
      </c>
      <c r="L64" s="109">
        <f t="shared" si="12"/>
        <v>800</v>
      </c>
      <c r="M64" s="109">
        <f t="shared" si="12"/>
        <v>800</v>
      </c>
      <c r="N64" s="109">
        <f t="shared" si="12"/>
        <v>800</v>
      </c>
      <c r="O64" s="109">
        <f t="shared" si="12"/>
        <v>800</v>
      </c>
      <c r="P64" s="47">
        <f t="shared" si="12"/>
        <v>800</v>
      </c>
      <c r="Q64" s="91"/>
    </row>
    <row r="65" spans="2:17" s="92" customFormat="1" ht="16.5" thickBot="1">
      <c r="B65" s="86"/>
      <c r="C65" s="188" t="s">
        <v>191</v>
      </c>
      <c r="D65" s="50" t="s">
        <v>100</v>
      </c>
      <c r="E65" s="185">
        <f>+MAX(0,E$62*(Tset_heating-'Climate data'!E$6)-E$63*E$61-E$64)</f>
        <v>2527.563700441205</v>
      </c>
      <c r="F65" s="185">
        <f>+MAX(0,F$62*(Tset_heating-'Climate data'!F$6)-F$63*F$61-F$64)</f>
        <v>2233.803810513775</v>
      </c>
      <c r="G65" s="185">
        <f>+MAX(0,G$62*(Tset_heating-'Climate data'!G$6)-G$63*G$61-G$64)</f>
        <v>1672.6818390397839</v>
      </c>
      <c r="H65" s="185">
        <f>+MAX(0,H$62*(Tset_heating-'Climate data'!H$6)-H$63*H$61-H$64)</f>
        <v>932.9438624339205</v>
      </c>
      <c r="I65" s="185">
        <f>+MAX(0,I$62*(Tset_heating-'Climate data'!I$6)-I$63*I$61-I$64)</f>
        <v>0</v>
      </c>
      <c r="J65" s="185">
        <f>+MAX(0,J$62*(Tset_heating-'Climate data'!J$6)-J$63*J$61-J$64)</f>
        <v>0</v>
      </c>
      <c r="K65" s="185">
        <f>+MAX(0,K$62*(Tset_heating-'Climate data'!K$6)-K$63*K$61-K$64)</f>
        <v>0</v>
      </c>
      <c r="L65" s="185">
        <f>+MAX(0,L$62*(Tset_heating-'Climate data'!L$6)-L$63*L$61-L$64)</f>
        <v>0</v>
      </c>
      <c r="M65" s="185">
        <f>+MAX(0,M$62*(Tset_heating-'Climate data'!M$6)-M$63*M$61-M$64)</f>
        <v>0</v>
      </c>
      <c r="N65" s="185">
        <f>+MAX(0,N$62*(Tset_heating-'Climate data'!N$6)-N$63*N$61-N$64)</f>
        <v>845.761321351383</v>
      </c>
      <c r="O65" s="185">
        <f>+MAX(0,O$62*(Tset_heating-'Climate data'!O$6)-O$63*O$61-O$64)</f>
        <v>1943.4819790356842</v>
      </c>
      <c r="P65" s="51">
        <f>+MAX(0,P$62*(Tset_heating-'Climate data'!P$6)-P$63*P$61-P$64)</f>
        <v>2440.8275782050687</v>
      </c>
      <c r="Q65" s="91"/>
    </row>
    <row r="66" spans="2:17" s="92" customFormat="1" ht="13.5" thickBot="1">
      <c r="B66" s="86"/>
      <c r="C66" s="186"/>
      <c r="D66" s="28"/>
      <c r="E66" s="109"/>
      <c r="F66" s="109"/>
      <c r="G66" s="109"/>
      <c r="H66" s="109"/>
      <c r="I66" s="109"/>
      <c r="J66" s="109"/>
      <c r="K66" s="109"/>
      <c r="L66" s="109"/>
      <c r="M66" s="109"/>
      <c r="N66" s="109"/>
      <c r="O66" s="109"/>
      <c r="P66" s="109"/>
      <c r="Q66" s="91"/>
    </row>
    <row r="67" spans="2:17" s="92" customFormat="1" ht="14.25">
      <c r="B67" s="86"/>
      <c r="C67" s="187" t="s">
        <v>201</v>
      </c>
      <c r="D67" s="183"/>
      <c r="E67" s="184"/>
      <c r="G67" s="109"/>
      <c r="H67" s="109"/>
      <c r="I67" s="109"/>
      <c r="J67" s="109"/>
      <c r="K67" s="109"/>
      <c r="L67" s="109"/>
      <c r="M67" s="109"/>
      <c r="N67" s="109"/>
      <c r="O67" s="109"/>
      <c r="P67" s="109"/>
      <c r="Q67" s="91"/>
    </row>
    <row r="68" spans="2:17" s="92" customFormat="1" ht="16.5" thickBot="1">
      <c r="B68" s="86"/>
      <c r="C68" s="188" t="s">
        <v>191</v>
      </c>
      <c r="D68" s="185" t="s">
        <v>100</v>
      </c>
      <c r="E68" s="51">
        <f>SUM(E65:P65)</f>
        <v>12597.06409102082</v>
      </c>
      <c r="G68" s="109"/>
      <c r="H68" s="109"/>
      <c r="I68" s="109"/>
      <c r="J68" s="109"/>
      <c r="K68" s="109"/>
      <c r="L68" s="109"/>
      <c r="M68" s="109"/>
      <c r="N68" s="109"/>
      <c r="O68" s="109"/>
      <c r="P68" s="109"/>
      <c r="Q68" s="91"/>
    </row>
    <row r="69" spans="2:17" s="92" customFormat="1" ht="13.5" thickBot="1">
      <c r="B69" s="125"/>
      <c r="C69" s="126"/>
      <c r="D69" s="126"/>
      <c r="E69" s="127"/>
      <c r="F69" s="127"/>
      <c r="G69" s="127"/>
      <c r="H69" s="127"/>
      <c r="I69" s="127"/>
      <c r="J69" s="127"/>
      <c r="K69" s="127"/>
      <c r="L69" s="127"/>
      <c r="M69" s="127"/>
      <c r="N69" s="127"/>
      <c r="O69" s="127"/>
      <c r="P69" s="127"/>
      <c r="Q69" s="128"/>
    </row>
    <row r="70" spans="5:17" s="92" customFormat="1" ht="13.5" thickTop="1">
      <c r="E70" s="129"/>
      <c r="Q70" s="129"/>
    </row>
    <row r="71" spans="5:17" ht="12.75">
      <c r="E71" s="71"/>
      <c r="Q71" s="71"/>
    </row>
  </sheetData>
  <sheetProtection sheet="1" objects="1" scenarios="1"/>
  <mergeCells count="1">
    <mergeCell ref="B3:D3"/>
  </mergeCells>
  <hyperlinks>
    <hyperlink ref="B3" r:id="rId1" tooltip="Download report from www.epa-nr.org" display="Click here to download the report from www.epa-nr.org"/>
  </hyperlinks>
  <printOptions/>
  <pageMargins left="0.75" right="0.75" top="1" bottom="1" header="0.5" footer="0.5"/>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sheetPr codeName="Sheet2"/>
  <dimension ref="A2:R71"/>
  <sheetViews>
    <sheetView workbookViewId="0" topLeftCell="A1">
      <selection activeCell="A1" sqref="A1"/>
    </sheetView>
  </sheetViews>
  <sheetFormatPr defaultColWidth="9.140625" defaultRowHeight="12.75"/>
  <cols>
    <col min="1" max="2" width="3.28125" style="3" customWidth="1"/>
    <col min="3" max="3" width="25.7109375" style="3" customWidth="1"/>
    <col min="4" max="4" width="10.7109375" style="3" customWidth="1"/>
    <col min="5" max="16" width="9.7109375" style="3" customWidth="1"/>
    <col min="17" max="17" width="3.28125" style="3" customWidth="1"/>
    <col min="18" max="16384" width="9.140625" style="3" customWidth="1"/>
  </cols>
  <sheetData>
    <row r="1" ht="12.75"/>
    <row r="2" ht="12.75">
      <c r="B2" s="26" t="s">
        <v>228</v>
      </c>
    </row>
    <row r="3" spans="2:12" ht="12.75">
      <c r="B3" s="230" t="s">
        <v>244</v>
      </c>
      <c r="C3" s="231"/>
      <c r="D3" s="231"/>
      <c r="L3" s="130"/>
    </row>
    <row r="4" spans="2:12" ht="12.75">
      <c r="B4" s="191"/>
      <c r="L4" s="130"/>
    </row>
    <row r="5" ht="12.75">
      <c r="B5" s="3" t="s">
        <v>250</v>
      </c>
    </row>
    <row r="6" ht="12.75"/>
    <row r="7" ht="13.5" thickBot="1"/>
    <row r="8" spans="2:17" ht="16.5" thickTop="1">
      <c r="B8" s="38" t="s">
        <v>153</v>
      </c>
      <c r="C8" s="39"/>
      <c r="D8" s="40"/>
      <c r="E8" s="40"/>
      <c r="F8" s="40"/>
      <c r="G8" s="40"/>
      <c r="H8" s="40"/>
      <c r="I8" s="40"/>
      <c r="J8" s="40"/>
      <c r="K8" s="40"/>
      <c r="L8" s="40"/>
      <c r="M8" s="40"/>
      <c r="N8" s="40"/>
      <c r="O8" s="40"/>
      <c r="P8" s="40"/>
      <c r="Q8" s="41"/>
    </row>
    <row r="9" spans="2:18" ht="13.5" thickBot="1">
      <c r="B9" s="42"/>
      <c r="C9" s="37"/>
      <c r="D9" s="37"/>
      <c r="E9" s="37"/>
      <c r="F9" s="37"/>
      <c r="G9" s="37"/>
      <c r="H9" s="37"/>
      <c r="I9" s="37"/>
      <c r="J9" s="37"/>
      <c r="K9" s="37"/>
      <c r="L9" s="37"/>
      <c r="M9" s="37"/>
      <c r="N9" s="37"/>
      <c r="O9" s="37"/>
      <c r="P9" s="37"/>
      <c r="Q9" s="44"/>
      <c r="R9" s="37"/>
    </row>
    <row r="10" spans="2:17" s="26" customFormat="1" ht="12.75">
      <c r="B10" s="45"/>
      <c r="C10" s="82" t="s">
        <v>131</v>
      </c>
      <c r="D10" s="83"/>
      <c r="E10" s="84" t="s">
        <v>36</v>
      </c>
      <c r="F10" s="84" t="s">
        <v>37</v>
      </c>
      <c r="G10" s="84" t="s">
        <v>79</v>
      </c>
      <c r="H10" s="84" t="s">
        <v>38</v>
      </c>
      <c r="I10" s="84" t="s">
        <v>77</v>
      </c>
      <c r="J10" s="84" t="s">
        <v>39</v>
      </c>
      <c r="K10" s="84" t="s">
        <v>40</v>
      </c>
      <c r="L10" s="84" t="s">
        <v>41</v>
      </c>
      <c r="M10" s="84" t="s">
        <v>42</v>
      </c>
      <c r="N10" s="84" t="s">
        <v>78</v>
      </c>
      <c r="O10" s="84" t="s">
        <v>43</v>
      </c>
      <c r="P10" s="85" t="s">
        <v>44</v>
      </c>
      <c r="Q10" s="48"/>
    </row>
    <row r="11" spans="2:17" s="92" customFormat="1" ht="13.5" thickBot="1">
      <c r="B11" s="86"/>
      <c r="C11" s="87" t="s">
        <v>80</v>
      </c>
      <c r="D11" s="50" t="s">
        <v>2</v>
      </c>
      <c r="E11" s="88">
        <f>Time_jan</f>
        <v>2.6784</v>
      </c>
      <c r="F11" s="88">
        <f>Time_feb</f>
        <v>2.4192</v>
      </c>
      <c r="G11" s="88">
        <f>Time_mar</f>
        <v>2.6784</v>
      </c>
      <c r="H11" s="88">
        <f>Time_apr</f>
        <v>2.592</v>
      </c>
      <c r="I11" s="88">
        <f>Time_may</f>
        <v>2.6784</v>
      </c>
      <c r="J11" s="89">
        <f>Time_jun</f>
        <v>2.592</v>
      </c>
      <c r="K11" s="88">
        <f>Time_jul</f>
        <v>2.6784</v>
      </c>
      <c r="L11" s="88">
        <f>Time_aug</f>
        <v>2.6784</v>
      </c>
      <c r="M11" s="88">
        <f>Time_sep</f>
        <v>2.592</v>
      </c>
      <c r="N11" s="88">
        <f>Time_oct</f>
        <v>2.6784</v>
      </c>
      <c r="O11" s="88">
        <f>Time_nov</f>
        <v>2.592</v>
      </c>
      <c r="P11" s="90">
        <f>Time_dec</f>
        <v>2.6784</v>
      </c>
      <c r="Q11" s="91"/>
    </row>
    <row r="12" spans="2:18" ht="13.5" customHeight="1">
      <c r="B12" s="42"/>
      <c r="C12" s="37"/>
      <c r="D12" s="37"/>
      <c r="E12" s="37"/>
      <c r="F12" s="37"/>
      <c r="G12" s="37"/>
      <c r="H12" s="37"/>
      <c r="I12" s="37"/>
      <c r="J12" s="37"/>
      <c r="K12" s="37"/>
      <c r="L12" s="37"/>
      <c r="M12" s="37"/>
      <c r="N12" s="37"/>
      <c r="O12" s="37"/>
      <c r="P12" s="37"/>
      <c r="Q12" s="44"/>
      <c r="R12" s="37"/>
    </row>
    <row r="13" spans="2:17" ht="13.5" thickBot="1">
      <c r="B13" s="42"/>
      <c r="C13" s="37"/>
      <c r="D13" s="37"/>
      <c r="E13" s="61"/>
      <c r="F13" s="61"/>
      <c r="G13" s="61"/>
      <c r="H13" s="61"/>
      <c r="I13" s="61"/>
      <c r="J13" s="61"/>
      <c r="K13" s="61"/>
      <c r="L13" s="61"/>
      <c r="M13" s="61"/>
      <c r="N13" s="61"/>
      <c r="O13" s="61"/>
      <c r="P13" s="61"/>
      <c r="Q13" s="44"/>
    </row>
    <row r="14" spans="2:17" ht="12.75">
      <c r="B14" s="42"/>
      <c r="C14" s="93" t="s">
        <v>105</v>
      </c>
      <c r="D14" s="94"/>
      <c r="E14" s="95"/>
      <c r="F14" s="95"/>
      <c r="G14" s="95"/>
      <c r="H14" s="95"/>
      <c r="I14" s="95"/>
      <c r="J14" s="95"/>
      <c r="K14" s="95"/>
      <c r="L14" s="95"/>
      <c r="M14" s="95"/>
      <c r="N14" s="95"/>
      <c r="O14" s="95"/>
      <c r="P14" s="96"/>
      <c r="Q14" s="44"/>
    </row>
    <row r="15" spans="2:17" ht="15.75">
      <c r="B15" s="42"/>
      <c r="C15" s="46" t="s">
        <v>106</v>
      </c>
      <c r="D15" s="37" t="s">
        <v>11</v>
      </c>
      <c r="E15" s="57">
        <f aca="true" t="shared" si="0" ref="E15:P15">+U_opaque_facade*(East_opaque_wall_area+South_opaque_wall_area+West_opaque_wall_area+North_opaque_wall_area)+U_opaque_roof*Roof_area+U_floor*Floor_area*Loss_coefficient_floor+U_window*(East_window_area+South_window_area+West_window_area+North_window_area)+U_door*(East_door_area+South_door_area+West_door_area+North_door_area)+Thermal_bridges</f>
        <v>122.75837499999999</v>
      </c>
      <c r="F15" s="57">
        <f t="shared" si="0"/>
        <v>122.75837499999999</v>
      </c>
      <c r="G15" s="57">
        <f t="shared" si="0"/>
        <v>122.75837499999999</v>
      </c>
      <c r="H15" s="57">
        <f t="shared" si="0"/>
        <v>122.75837499999999</v>
      </c>
      <c r="I15" s="57">
        <f t="shared" si="0"/>
        <v>122.75837499999999</v>
      </c>
      <c r="J15" s="57">
        <f t="shared" si="0"/>
        <v>122.75837499999999</v>
      </c>
      <c r="K15" s="57">
        <f t="shared" si="0"/>
        <v>122.75837499999999</v>
      </c>
      <c r="L15" s="57">
        <f t="shared" si="0"/>
        <v>122.75837499999999</v>
      </c>
      <c r="M15" s="57">
        <f t="shared" si="0"/>
        <v>122.75837499999999</v>
      </c>
      <c r="N15" s="57">
        <f t="shared" si="0"/>
        <v>122.75837499999999</v>
      </c>
      <c r="O15" s="57">
        <f t="shared" si="0"/>
        <v>122.75837499999999</v>
      </c>
      <c r="P15" s="97">
        <f t="shared" si="0"/>
        <v>122.75837499999999</v>
      </c>
      <c r="Q15" s="44"/>
    </row>
    <row r="16" spans="2:17" ht="16.5" thickBot="1">
      <c r="B16" s="42"/>
      <c r="C16" s="49" t="s">
        <v>107</v>
      </c>
      <c r="D16" s="79" t="s">
        <v>1</v>
      </c>
      <c r="E16" s="98">
        <f>+Ht_C*(Tset_cooling-'Climate data'!E$6)*Length_of_month</f>
        <v>7070.396276834999</v>
      </c>
      <c r="F16" s="98">
        <f>+Ht_C*(Tset_cooling-'Climate data'!F$6)*Length_of_month</f>
        <v>6175.841267205</v>
      </c>
      <c r="G16" s="98">
        <f>+Ht_C*(Tset_cooling-'Climate data'!G$6)*Length_of_month</f>
        <v>6014.625148484998</v>
      </c>
      <c r="H16" s="98">
        <f>+Ht_C*(Tset_cooling-'Climate data'!H$6)*Length_of_month</f>
        <v>4868.037374309999</v>
      </c>
      <c r="I16" s="98">
        <f>+Ht_C*(Tset_cooling-'Climate data'!I$6)*Length_of_month</f>
        <v>3714.953226929997</v>
      </c>
      <c r="J16" s="98">
        <f>+Ht_C*(Tset_cooling-'Climate data'!J$6)*Length_of_month</f>
        <v>2703.3309205649985</v>
      </c>
      <c r="K16" s="98">
        <f>+Ht_C*(Tset_cooling-'Climate data'!K$6)*Length_of_month</f>
        <v>2234.6198034750023</v>
      </c>
      <c r="L16" s="98">
        <f>+Ht_C*(Tset_cooling-'Climate data'!L$6)*Length_of_month</f>
        <v>2301.5280281849937</v>
      </c>
      <c r="M16" s="98">
        <f>+Ht_C*(Tset_cooling-'Climate data'!M$6)*Length_of_month</f>
        <v>3055.195705995001</v>
      </c>
      <c r="N16" s="98">
        <f>+Ht_C*(Tset_cooling-'Climate data'!N$6)*Length_of_month</f>
        <v>4471.228292624999</v>
      </c>
      <c r="O16" s="98">
        <f>+Ht_C*(Tset_cooling-'Climate data'!O$6)*Length_of_month</f>
        <v>5726.530883699999</v>
      </c>
      <c r="P16" s="80">
        <f>+Ht_C*(Tset_cooling-'Climate data'!P$6)*Length_of_month</f>
        <v>6773.330830004999</v>
      </c>
      <c r="Q16" s="44"/>
    </row>
    <row r="17" spans="2:17" ht="13.5" thickBot="1">
      <c r="B17" s="42"/>
      <c r="C17" s="37"/>
      <c r="D17" s="37"/>
      <c r="E17" s="61"/>
      <c r="F17" s="61"/>
      <c r="G17" s="61"/>
      <c r="H17" s="61"/>
      <c r="I17" s="61"/>
      <c r="J17" s="61"/>
      <c r="K17" s="61"/>
      <c r="L17" s="61"/>
      <c r="M17" s="61"/>
      <c r="N17" s="61"/>
      <c r="O17" s="61"/>
      <c r="P17" s="61"/>
      <c r="Q17" s="44"/>
    </row>
    <row r="18" spans="2:17" ht="12.75">
      <c r="B18" s="42"/>
      <c r="C18" s="93" t="s">
        <v>108</v>
      </c>
      <c r="D18" s="94"/>
      <c r="E18" s="95"/>
      <c r="F18" s="95"/>
      <c r="G18" s="95"/>
      <c r="H18" s="95"/>
      <c r="I18" s="95"/>
      <c r="J18" s="95"/>
      <c r="K18" s="95"/>
      <c r="L18" s="95"/>
      <c r="M18" s="95"/>
      <c r="N18" s="95"/>
      <c r="O18" s="95"/>
      <c r="P18" s="96"/>
      <c r="Q18" s="44"/>
    </row>
    <row r="19" spans="2:17" ht="15.75">
      <c r="B19" s="42"/>
      <c r="C19" s="46" t="s">
        <v>109</v>
      </c>
      <c r="D19" s="37" t="s">
        <v>11</v>
      </c>
      <c r="E19" s="57">
        <f aca="true" t="shared" si="1" ref="E19:P19">1.2*(Air_flow_rate*Total_usable_area)</f>
        <v>93.16079999999998</v>
      </c>
      <c r="F19" s="57">
        <f t="shared" si="1"/>
        <v>93.16079999999998</v>
      </c>
      <c r="G19" s="57">
        <f t="shared" si="1"/>
        <v>93.16079999999998</v>
      </c>
      <c r="H19" s="57">
        <f t="shared" si="1"/>
        <v>93.16079999999998</v>
      </c>
      <c r="I19" s="57">
        <f t="shared" si="1"/>
        <v>93.16079999999998</v>
      </c>
      <c r="J19" s="57">
        <f t="shared" si="1"/>
        <v>93.16079999999998</v>
      </c>
      <c r="K19" s="57">
        <f t="shared" si="1"/>
        <v>93.16079999999998</v>
      </c>
      <c r="L19" s="57">
        <f t="shared" si="1"/>
        <v>93.16079999999998</v>
      </c>
      <c r="M19" s="57">
        <f t="shared" si="1"/>
        <v>93.16079999999998</v>
      </c>
      <c r="N19" s="57">
        <f t="shared" si="1"/>
        <v>93.16079999999998</v>
      </c>
      <c r="O19" s="57">
        <f t="shared" si="1"/>
        <v>93.16079999999998</v>
      </c>
      <c r="P19" s="97">
        <f t="shared" si="1"/>
        <v>93.16079999999998</v>
      </c>
      <c r="Q19" s="44"/>
    </row>
    <row r="20" spans="2:17" ht="16.5" thickBot="1">
      <c r="B20" s="42"/>
      <c r="C20" s="49" t="s">
        <v>110</v>
      </c>
      <c r="D20" s="79" t="s">
        <v>1</v>
      </c>
      <c r="E20" s="98">
        <f>+Hv_C*(Tset_cooling-'Climate data'!E$6)*Length_of_month</f>
        <v>5365.693163231998</v>
      </c>
      <c r="F20" s="98">
        <f>+Hv_C*(Tset_cooling-'Climate data'!F$6)*Length_of_month</f>
        <v>4686.819234335999</v>
      </c>
      <c r="G20" s="98">
        <f>+Hv_C*(Tset_cooling-'Climate data'!G$6)*Length_of_month</f>
        <v>4564.473018911998</v>
      </c>
      <c r="H20" s="98">
        <f>+Hv_C*(Tset_cooling-'Climate data'!H$6)*Length_of_month</f>
        <v>3694.332514751999</v>
      </c>
      <c r="I20" s="98">
        <f>+Hv_C*(Tset_cooling-'Climate data'!I$6)*Length_of_month</f>
        <v>2819.261941055998</v>
      </c>
      <c r="J20" s="98">
        <f>+Hv_C*(Tset_cooling-'Climate data'!J$6)*Length_of_month</f>
        <v>2051.5461468479984</v>
      </c>
      <c r="K20" s="98">
        <f>+Hv_C*(Tset_cooling-'Climate data'!K$6)*Length_of_month</f>
        <v>1695.8433067200015</v>
      </c>
      <c r="L20" s="98">
        <f>+Hv_C*(Tset_cooling-'Climate data'!L$6)*Length_of_month</f>
        <v>1746.6196691519951</v>
      </c>
      <c r="M20" s="98">
        <f>+Hv_C*(Tset_cooling-'Climate data'!M$6)*Length_of_month</f>
        <v>2318.574811104</v>
      </c>
      <c r="N20" s="98">
        <f>+Hv_C*(Tset_cooling-'Climate data'!N$6)*Length_of_month</f>
        <v>3393.195818399999</v>
      </c>
      <c r="O20" s="98">
        <f>+Hv_C*(Tset_cooling-'Climate data'!O$6)*Length_of_month</f>
        <v>4345.839527039999</v>
      </c>
      <c r="P20" s="80">
        <f>+Hv_C*(Tset_cooling-'Climate data'!P$6)*Length_of_month</f>
        <v>5140.251480095999</v>
      </c>
      <c r="Q20" s="44"/>
    </row>
    <row r="21" spans="2:17" ht="13.5" thickBot="1">
      <c r="B21" s="42"/>
      <c r="C21" s="37"/>
      <c r="D21" s="37"/>
      <c r="E21" s="61"/>
      <c r="F21" s="61"/>
      <c r="G21" s="61"/>
      <c r="H21" s="61"/>
      <c r="I21" s="61"/>
      <c r="J21" s="61"/>
      <c r="K21" s="61"/>
      <c r="L21" s="61"/>
      <c r="M21" s="61"/>
      <c r="N21" s="61"/>
      <c r="O21" s="61"/>
      <c r="P21" s="61"/>
      <c r="Q21" s="44"/>
    </row>
    <row r="22" spans="2:17" ht="12.75">
      <c r="B22" s="42"/>
      <c r="C22" s="93" t="s">
        <v>102</v>
      </c>
      <c r="D22" s="99"/>
      <c r="E22" s="100"/>
      <c r="F22" s="100"/>
      <c r="G22" s="100"/>
      <c r="H22" s="100"/>
      <c r="I22" s="100"/>
      <c r="J22" s="100"/>
      <c r="K22" s="100"/>
      <c r="L22" s="100"/>
      <c r="M22" s="100"/>
      <c r="N22" s="100"/>
      <c r="O22" s="100"/>
      <c r="P22" s="101"/>
      <c r="Q22" s="102"/>
    </row>
    <row r="23" spans="2:17" ht="16.5" thickBot="1">
      <c r="B23" s="42"/>
      <c r="C23" s="49" t="s">
        <v>103</v>
      </c>
      <c r="D23" s="79" t="s">
        <v>1</v>
      </c>
      <c r="E23" s="98">
        <f aca="true" t="shared" si="2" ref="E23:P23">+Internal_heat_sources*Total_usable_area*Length_of_month</f>
        <v>2079.3490559999996</v>
      </c>
      <c r="F23" s="98">
        <f t="shared" si="2"/>
        <v>1878.1217279999998</v>
      </c>
      <c r="G23" s="98">
        <f t="shared" si="2"/>
        <v>2079.3490559999996</v>
      </c>
      <c r="H23" s="98">
        <f t="shared" si="2"/>
        <v>2012.2732799999999</v>
      </c>
      <c r="I23" s="98">
        <f t="shared" si="2"/>
        <v>2079.3490559999996</v>
      </c>
      <c r="J23" s="98">
        <f t="shared" si="2"/>
        <v>2012.2732799999999</v>
      </c>
      <c r="K23" s="98">
        <f t="shared" si="2"/>
        <v>2079.3490559999996</v>
      </c>
      <c r="L23" s="98">
        <f t="shared" si="2"/>
        <v>2079.3490559999996</v>
      </c>
      <c r="M23" s="98">
        <f t="shared" si="2"/>
        <v>2012.2732799999999</v>
      </c>
      <c r="N23" s="98">
        <f t="shared" si="2"/>
        <v>2079.3490559999996</v>
      </c>
      <c r="O23" s="98">
        <f t="shared" si="2"/>
        <v>2012.2732799999999</v>
      </c>
      <c r="P23" s="80">
        <f t="shared" si="2"/>
        <v>2079.3490559999996</v>
      </c>
      <c r="Q23" s="102"/>
    </row>
    <row r="24" spans="2:17" ht="13.5" thickBot="1">
      <c r="B24" s="42"/>
      <c r="C24" s="28"/>
      <c r="D24" s="37"/>
      <c r="E24" s="61"/>
      <c r="F24" s="61"/>
      <c r="G24" s="61"/>
      <c r="H24" s="61"/>
      <c r="I24" s="61"/>
      <c r="J24" s="61"/>
      <c r="K24" s="61"/>
      <c r="L24" s="61"/>
      <c r="M24" s="61"/>
      <c r="N24" s="61"/>
      <c r="O24" s="61"/>
      <c r="P24" s="61"/>
      <c r="Q24" s="102"/>
    </row>
    <row r="25" spans="2:17" ht="12.75">
      <c r="B25" s="42"/>
      <c r="C25" s="93" t="s">
        <v>264</v>
      </c>
      <c r="D25" s="99"/>
      <c r="E25" s="99"/>
      <c r="F25" s="99"/>
      <c r="G25" s="99"/>
      <c r="H25" s="99"/>
      <c r="I25" s="99"/>
      <c r="J25" s="99"/>
      <c r="K25" s="99"/>
      <c r="L25" s="99"/>
      <c r="M25" s="99"/>
      <c r="N25" s="99"/>
      <c r="O25" s="99"/>
      <c r="P25" s="103"/>
      <c r="Q25" s="44"/>
    </row>
    <row r="26" spans="2:17" ht="15.75">
      <c r="B26" s="42"/>
      <c r="C26" s="46" t="s">
        <v>91</v>
      </c>
      <c r="D26" s="37" t="s">
        <v>100</v>
      </c>
      <c r="E26" s="65">
        <f>+Shading_device*g_value*Glazing_fraction*East_window_area*'Climate data'!E7-Form_factor_vert*External_surface_heat_resistance*U_window*East_window_area*(5*Emissivity)*Difference_T_air_sky</f>
        <v>12.597948387096785</v>
      </c>
      <c r="F26" s="65">
        <f>+Shading_device*g_value*Glazing_fraction*East_window_area*'Climate data'!F7-Form_factor_vert*External_surface_heat_resistance*U_window*East_window_area*(5*Emissivity)*Difference_T_air_sky</f>
        <v>27.149266071428578</v>
      </c>
      <c r="G26" s="65">
        <f>+Shading_device*g_value*Glazing_fraction*East_window_area*'Climate data'!G7-Form_factor_vert*External_surface_heat_resistance*U_window*East_window_area*(5*Emissivity)*Difference_T_air_sky</f>
        <v>43.936154032258095</v>
      </c>
      <c r="H26" s="65">
        <f>+Shading_device*g_value*Glazing_fraction*East_window_area*'Climate data'!H7-Form_factor_vert*External_surface_heat_resistance*U_window*East_window_area*(5*Emissivity)*Difference_T_air_sky</f>
        <v>64.15127500000001</v>
      </c>
      <c r="I26" s="65">
        <f>+Shading_device*g_value*Glazing_fraction*East_window_area*'Climate data'!I7-Form_factor_vert*External_surface_heat_resistance*U_window*East_window_area*(5*Emissivity)*Difference_T_air_sky</f>
        <v>89.6967387096775</v>
      </c>
      <c r="J26" s="65">
        <f>+Shading_device*g_value*Glazing_fraction*East_window_area*'Climate data'!J7-Form_factor_vert*External_surface_heat_resistance*U_window*East_window_area*(5*Emissivity)*Difference_T_air_sky</f>
        <v>91.05690000000006</v>
      </c>
      <c r="K26" s="65">
        <f>+Shading_device*g_value*Glazing_fraction*East_window_area*'Climate data'!K7-Form_factor_vert*External_surface_heat_resistance*U_window*East_window_area*(5*Emissivity)*Difference_T_air_sky</f>
        <v>89.12456129032257</v>
      </c>
      <c r="L26" s="65">
        <f>+Shading_device*g_value*Glazing_fraction*East_window_area*'Climate data'!L7-Form_factor_vert*External_surface_heat_resistance*U_window*East_window_area*(5*Emissivity)*Difference_T_air_sky</f>
        <v>73.88292822580642</v>
      </c>
      <c r="M26" s="65">
        <f>+Shading_device*g_value*Glazing_fraction*East_window_area*'Climate data'!M7-Form_factor_vert*External_surface_heat_resistance*U_window*East_window_area*(5*Emissivity)*Difference_T_air_sky</f>
        <v>54.888775</v>
      </c>
      <c r="N26" s="65">
        <f>+Shading_device*g_value*Glazing_fraction*East_window_area*'Climate data'!N7-Form_factor_vert*External_surface_heat_resistance*U_window*East_window_area*(5*Emissivity)*Difference_T_air_sky</f>
        <v>35.46296854838707</v>
      </c>
      <c r="O26" s="65">
        <f>+Shading_device*g_value*Glazing_fraction*East_window_area*'Climate data'!O7-Form_factor_vert*External_surface_heat_resistance*U_window*East_window_area*(5*Emissivity)*Difference_T_air_sky</f>
        <v>14.98565</v>
      </c>
      <c r="P26" s="104">
        <f>+Shading_device*g_value*Glazing_fraction*East_window_area*'Climate data'!P7-Form_factor_vert*External_surface_heat_resistance*U_window*East_window_area*(5*Emissivity)*Difference_T_air_sky</f>
        <v>9.372645967741942</v>
      </c>
      <c r="Q26" s="102"/>
    </row>
    <row r="27" spans="2:17" ht="15.75">
      <c r="B27" s="42"/>
      <c r="C27" s="46" t="s">
        <v>92</v>
      </c>
      <c r="D27" s="37" t="s">
        <v>100</v>
      </c>
      <c r="E27" s="65">
        <f>+Shading_device*g_value*Glazing_fraction*South_window_area*'Climate data'!E8-Form_factor_vert*External_surface_heat_resistance*U_window*South_window_area*(5*Emissivity)*Difference_T_air_sky</f>
        <v>212.82759193548398</v>
      </c>
      <c r="F27" s="65">
        <f>+Shading_device*g_value*Glazing_fraction*South_window_area*'Climate data'!F8-Form_factor_vert*External_surface_heat_resistance*U_window*South_window_area*(5*Emissivity)*Difference_T_air_sky</f>
        <v>364.3470709821431</v>
      </c>
      <c r="G27" s="65">
        <f>+Shading_device*g_value*Glazing_fraction*South_window_area*'Climate data'!G8-Form_factor_vert*External_surface_heat_resistance*U_window*South_window_area*(5*Emissivity)*Difference_T_air_sky</f>
        <v>444.7950314516132</v>
      </c>
      <c r="H27" s="65">
        <f>+Shading_device*g_value*Glazing_fraction*South_window_area*'Climate data'!H8-Form_factor_vert*External_surface_heat_resistance*U_window*South_window_area*(5*Emissivity)*Difference_T_air_sky</f>
        <v>525.3626625</v>
      </c>
      <c r="I27" s="65">
        <f>+Shading_device*g_value*Glazing_fraction*South_window_area*'Climate data'!I8-Form_factor_vert*External_surface_heat_resistance*U_window*South_window_area*(5*Emissivity)*Difference_T_air_sky</f>
        <v>541.5185697580645</v>
      </c>
      <c r="J27" s="65">
        <f>+Shading_device*g_value*Glazing_fraction*South_window_area*'Climate data'!J8-Form_factor_vert*External_surface_heat_resistance*U_window*South_window_area*(5*Emissivity)*Difference_T_air_sky</f>
        <v>502.43797500000005</v>
      </c>
      <c r="K27" s="65">
        <f>+Shading_device*g_value*Glazing_fraction*South_window_area*'Climate data'!K8-Form_factor_vert*External_surface_heat_resistance*U_window*South_window_area*(5*Emissivity)*Difference_T_air_sky</f>
        <v>519.3923600806451</v>
      </c>
      <c r="L27" s="65">
        <f>+Shading_device*g_value*Glazing_fraction*South_window_area*'Climate data'!L8-Form_factor_vert*External_surface_heat_resistance*U_window*South_window_area*(5*Emissivity)*Difference_T_air_sky</f>
        <v>538.011714919355</v>
      </c>
      <c r="M27" s="65">
        <f>+Shading_device*g_value*Glazing_fraction*South_window_area*'Climate data'!M8-Form_factor_vert*External_surface_heat_resistance*U_window*South_window_area*(5*Emissivity)*Difference_T_air_sky</f>
        <v>524.0667250000006</v>
      </c>
      <c r="N27" s="65">
        <f>+Shading_device*g_value*Glazing_fraction*South_window_area*'Climate data'!N8-Form_factor_vert*External_surface_heat_resistance*U_window*South_window_area*(5*Emissivity)*Difference_T_air_sky</f>
        <v>453.9651423387097</v>
      </c>
      <c r="O27" s="65">
        <f>+Shading_device*g_value*Glazing_fraction*South_window_area*'Climate data'!O8-Form_factor_vert*External_surface_heat_resistance*U_window*South_window_area*(5*Emissivity)*Difference_T_air_sky</f>
        <v>261.84250625000004</v>
      </c>
      <c r="P27" s="104">
        <f>+Shading_device*g_value*Glazing_fraction*South_window_area*'Climate data'!P8-Form_factor_vert*External_surface_heat_resistance*U_window*South_window_area*(5*Emissivity)*Difference_T_air_sky</f>
        <v>196.48847903225828</v>
      </c>
      <c r="Q27" s="102"/>
    </row>
    <row r="28" spans="2:17" ht="15.75">
      <c r="B28" s="42"/>
      <c r="C28" s="46" t="s">
        <v>93</v>
      </c>
      <c r="D28" s="37" t="s">
        <v>100</v>
      </c>
      <c r="E28" s="65">
        <f>+Shading_device*g_value*Glazing_fraction*West_window_area*'Climate data'!E9-Form_factor_vert*External_surface_heat_resistance*U_window*West_window_area*(5*Emissivity)*Difference_T_air_sky</f>
        <v>0</v>
      </c>
      <c r="F28" s="65">
        <f>+Shading_device*g_value*Glazing_fraction*West_window_area*'Climate data'!F9-Form_factor_vert*External_surface_heat_resistance*U_window*West_window_area*(5*Emissivity)*Difference_T_air_sky</f>
        <v>0</v>
      </c>
      <c r="G28" s="65">
        <f>+Shading_device*g_value*Glazing_fraction*West_window_area*'Climate data'!G9-Form_factor_vert*External_surface_heat_resistance*U_window*West_window_area*(5*Emissivity)*Difference_T_air_sky</f>
        <v>0</v>
      </c>
      <c r="H28" s="65">
        <f>+Shading_device*g_value*Glazing_fraction*West_window_area*'Climate data'!H9-Form_factor_vert*External_surface_heat_resistance*U_window*West_window_area*(5*Emissivity)*Difference_T_air_sky</f>
        <v>0</v>
      </c>
      <c r="I28" s="65">
        <f>+Shading_device*g_value*Glazing_fraction*West_window_area*'Climate data'!I9-Form_factor_vert*External_surface_heat_resistance*U_window*West_window_area*(5*Emissivity)*Difference_T_air_sky</f>
        <v>0</v>
      </c>
      <c r="J28" s="65">
        <f>+Shading_device*g_value*Glazing_fraction*West_window_area*'Climate data'!J9-Form_factor_vert*External_surface_heat_resistance*U_window*West_window_area*(5*Emissivity)*Difference_T_air_sky</f>
        <v>0</v>
      </c>
      <c r="K28" s="65">
        <f>+Shading_device*g_value*Glazing_fraction*West_window_area*'Climate data'!K9-Form_factor_vert*External_surface_heat_resistance*U_window*West_window_area*(5*Emissivity)*Difference_T_air_sky</f>
        <v>0</v>
      </c>
      <c r="L28" s="65">
        <f>+Shading_device*g_value*Glazing_fraction*West_window_area*'Climate data'!L9-Form_factor_vert*External_surface_heat_resistance*U_window*West_window_area*(5*Emissivity)*Difference_T_air_sky</f>
        <v>0</v>
      </c>
      <c r="M28" s="65">
        <f>+Shading_device*g_value*Glazing_fraction*West_window_area*'Climate data'!M9-Form_factor_vert*External_surface_heat_resistance*U_window*West_window_area*(5*Emissivity)*Difference_T_air_sky</f>
        <v>0</v>
      </c>
      <c r="N28" s="65">
        <f>+Shading_device*g_value*Glazing_fraction*West_window_area*'Climate data'!N9-Form_factor_vert*External_surface_heat_resistance*U_window*West_window_area*(5*Emissivity)*Difference_T_air_sky</f>
        <v>0</v>
      </c>
      <c r="O28" s="65">
        <f>+Shading_device*g_value*Glazing_fraction*West_window_area*'Climate data'!O9-Form_factor_vert*External_surface_heat_resistance*U_window*West_window_area*(5*Emissivity)*Difference_T_air_sky</f>
        <v>0</v>
      </c>
      <c r="P28" s="104">
        <f>+Shading_device*g_value*Glazing_fraction*West_window_area*'Climate data'!P9-Form_factor_vert*External_surface_heat_resistance*U_window*West_window_area*(5*Emissivity)*Difference_T_air_sky</f>
        <v>0</v>
      </c>
      <c r="Q28" s="102"/>
    </row>
    <row r="29" spans="2:17" ht="15.75">
      <c r="B29" s="42"/>
      <c r="C29" s="46" t="s">
        <v>94</v>
      </c>
      <c r="D29" s="37" t="s">
        <v>100</v>
      </c>
      <c r="E29" s="65">
        <f>+Shading_device*g_value*Glazing_fraction*North_window_area*'Climate data'!E10-Form_factor_vert*External_surface_heat_resistance*U_window*North_window_area*(5*Emissivity)*Difference_T_air_sky</f>
        <v>32.239058064516136</v>
      </c>
      <c r="F29" s="65">
        <f>+Shading_device*g_value*Glazing_fraction*North_window_area*'Climate data'!F10-Form_factor_vert*External_surface_heat_resistance*U_window*North_window_area*(5*Emissivity)*Difference_T_air_sky</f>
        <v>71.35858571428572</v>
      </c>
      <c r="G29" s="65">
        <f>+Shading_device*g_value*Glazing_fraction*North_window_area*'Climate data'!G10-Form_factor_vert*External_surface_heat_resistance*U_window*North_window_area*(5*Emissivity)*Difference_T_air_sky</f>
        <v>120.20034838709675</v>
      </c>
      <c r="H29" s="65">
        <f>+Shading_device*g_value*Glazing_fraction*North_window_area*'Climate data'!H10-Form_factor_vert*External_surface_heat_resistance*U_window*North_window_area*(5*Emissivity)*Difference_T_air_sky</f>
        <v>192.09846666666667</v>
      </c>
      <c r="I29" s="65">
        <f>+Shading_device*g_value*Glazing_fraction*North_window_area*'Climate data'!I10-Form_factor_vert*External_surface_heat_resistance*U_window*North_window_area*(5*Emissivity)*Difference_T_air_sky</f>
        <v>275.49712258064517</v>
      </c>
      <c r="J29" s="65">
        <f>+Shading_device*g_value*Glazing_fraction*North_window_area*'Climate data'!J10-Form_factor_vert*External_surface_heat_resistance*U_window*North_window_area*(5*Emissivity)*Difference_T_air_sky</f>
        <v>289.8834666666664</v>
      </c>
      <c r="K29" s="65">
        <f>+Shading_device*g_value*Glazing_fraction*North_window_area*'Climate data'!K10-Form_factor_vert*External_surface_heat_resistance*U_window*North_window_area*(5*Emissivity)*Difference_T_air_sky</f>
        <v>291.60518709677416</v>
      </c>
      <c r="L29" s="65">
        <f>+Shading_device*g_value*Glazing_fraction*North_window_area*'Climate data'!L10-Form_factor_vert*External_surface_heat_resistance*U_window*North_window_area*(5*Emissivity)*Difference_T_air_sky</f>
        <v>234.61970322580626</v>
      </c>
      <c r="M29" s="65">
        <f>+Shading_device*g_value*Glazing_fraction*North_window_area*'Climate data'!M10-Form_factor_vert*External_surface_heat_resistance*U_window*North_window_area*(5*Emissivity)*Difference_T_air_sky</f>
        <v>152.39680000000004</v>
      </c>
      <c r="N29" s="65">
        <f>+Shading_device*g_value*Glazing_fraction*North_window_area*'Climate data'!N10-Form_factor_vert*External_surface_heat_resistance*U_window*North_window_area*(5*Emissivity)*Difference_T_air_sky</f>
        <v>90.3519612903226</v>
      </c>
      <c r="O29" s="65">
        <f>+Shading_device*g_value*Glazing_fraction*North_window_area*'Climate data'!O10-Form_factor_vert*External_surface_heat_resistance*U_window*North_window_area*(5*Emissivity)*Difference_T_air_sky</f>
        <v>42.17679999999997</v>
      </c>
      <c r="P29" s="104">
        <f>+Shading_device*g_value*Glazing_fraction*North_window_area*'Climate data'!P10-Form_factor_vert*External_surface_heat_resistance*U_window*North_window_area*(5*Emissivity)*Difference_T_air_sky</f>
        <v>21.22776774193548</v>
      </c>
      <c r="Q29" s="102"/>
    </row>
    <row r="30" spans="2:17" ht="15.75">
      <c r="B30" s="42"/>
      <c r="C30" s="46" t="s">
        <v>95</v>
      </c>
      <c r="D30" s="37" t="s">
        <v>100</v>
      </c>
      <c r="E30" s="65">
        <f>+Absorption_coefficient*External_surface_heat_resistance*U_opaque_facade*East_opaque_wall_area*'Climate data'!E7-Form_factor_vert*External_surface_heat_resistance*U_opaque_facade*East_opaque_wall_area*(5*Emissivity)*Difference_T_air_sky</f>
        <v>-11.469430585424128</v>
      </c>
      <c r="F30" s="65">
        <f>+Absorption_coefficient*External_surface_heat_resistance*U_opaque_facade*East_opaque_wall_area*'Climate data'!F7-Form_factor_vert*External_surface_heat_resistance*U_opaque_facade*East_opaque_wall_area*(5*Emissivity)*Difference_T_air_sky</f>
        <v>5.351174074074073</v>
      </c>
      <c r="G30" s="65">
        <f>+Absorption_coefficient*External_surface_heat_resistance*U_opaque_facade*East_opaque_wall_area*'Climate data'!G7-Form_factor_vert*External_surface_heat_resistance*U_opaque_facade*East_opaque_wall_area*(5*Emissivity)*Difference_T_air_sky</f>
        <v>24.755987574671472</v>
      </c>
      <c r="H30" s="65">
        <f>+Absorption_coefficient*External_surface_heat_resistance*U_opaque_facade*East_opaque_wall_area*'Climate data'!H7-Form_factor_vert*External_surface_heat_resistance*U_opaque_facade*East_opaque_wall_area*(5*Emissivity)*Difference_T_air_sky</f>
        <v>48.123669135802466</v>
      </c>
      <c r="I30" s="65">
        <f>+Absorption_coefficient*External_surface_heat_resistance*U_opaque_facade*East_opaque_wall_area*'Climate data'!I7-Form_factor_vert*External_surface_heat_resistance*U_opaque_facade*East_opaque_wall_area*(5*Emissivity)*Difference_T_air_sky</f>
        <v>77.65296367980892</v>
      </c>
      <c r="J30" s="65">
        <f>+Absorption_coefficient*External_surface_heat_resistance*U_opaque_facade*East_opaque_wall_area*'Climate data'!J7-Form_factor_vert*External_surface_heat_resistance*U_opaque_facade*East_opaque_wall_area*(5*Emissivity)*Difference_T_air_sky</f>
        <v>79.22524296296302</v>
      </c>
      <c r="K30" s="65">
        <f>+Absorption_coefficient*External_surface_heat_resistance*U_opaque_facade*East_opaque_wall_area*'Climate data'!K7-Form_factor_vert*External_surface_heat_resistance*U_opaque_facade*East_opaque_wall_area*(5*Emissivity)*Difference_T_air_sky</f>
        <v>76.99155483870965</v>
      </c>
      <c r="L30" s="65">
        <f>+Absorption_coefficient*External_surface_heat_resistance*U_opaque_facade*East_opaque_wall_area*'Climate data'!L7-Form_factor_vert*External_surface_heat_resistance*U_opaque_facade*East_opaque_wall_area*(5*Emissivity)*Difference_T_air_sky</f>
        <v>59.37297968936675</v>
      </c>
      <c r="M30" s="65">
        <f>+Absorption_coefficient*External_surface_heat_resistance*U_opaque_facade*East_opaque_wall_area*'Climate data'!M7-Form_factor_vert*External_surface_heat_resistance*U_opaque_facade*East_opaque_wall_area*(5*Emissivity)*Difference_T_air_sky</f>
        <v>37.41667654320987</v>
      </c>
      <c r="N30" s="65">
        <f>+Absorption_coefficient*External_surface_heat_resistance*U_opaque_facade*East_opaque_wall_area*'Climate data'!N7-Form_factor_vert*External_surface_heat_resistance*U_opaque_facade*East_opaque_wall_area*(5*Emissivity)*Difference_T_air_sky</f>
        <v>14.961403584229345</v>
      </c>
      <c r="O30" s="65">
        <f>+Absorption_coefficient*External_surface_heat_resistance*U_opaque_facade*East_opaque_wall_area*'Climate data'!O7-Form_factor_vert*External_surface_heat_resistance*U_opaque_facade*East_opaque_wall_area*(5*Emissivity)*Difference_T_air_sky</f>
        <v>-8.709365432098771</v>
      </c>
      <c r="P30" s="104">
        <f>+Absorption_coefficient*External_surface_heat_resistance*U_opaque_facade*East_opaque_wall_area*'Climate data'!P7-Form_factor_vert*External_surface_heat_resistance*U_opaque_facade*East_opaque_wall_area*(5*Emissivity)*Difference_T_air_sky</f>
        <v>-15.197720908004776</v>
      </c>
      <c r="Q30" s="102"/>
    </row>
    <row r="31" spans="2:17" ht="15.75">
      <c r="B31" s="42"/>
      <c r="C31" s="46" t="s">
        <v>96</v>
      </c>
      <c r="D31" s="37" t="s">
        <v>100</v>
      </c>
      <c r="E31" s="65">
        <f>+Absorption_coefficient*External_surface_heat_resistance*U_opaque_facade*South_opaque_wall_area*'Climate data'!E8-Form_factor_vert*External_surface_heat_resistance*U_opaque_facade*South_opaque_wall_area*(5*Emissivity)*Difference_T_air_sky</f>
        <v>6.041730943847082</v>
      </c>
      <c r="F31" s="65">
        <f>+Absorption_coefficient*External_surface_heat_resistance*U_opaque_facade*South_opaque_wall_area*'Climate data'!F8-Form_factor_vert*External_surface_heat_resistance*U_opaque_facade*South_opaque_wall_area*(5*Emissivity)*Difference_T_air_sky</f>
        <v>19.818635978836</v>
      </c>
      <c r="G31" s="65">
        <f>+Absorption_coefficient*External_surface_heat_resistance*U_opaque_facade*South_opaque_wall_area*'Climate data'!G8-Form_factor_vert*External_surface_heat_resistance*U_opaque_facade*South_opaque_wall_area*(5*Emissivity)*Difference_T_air_sky</f>
        <v>27.133364874552</v>
      </c>
      <c r="H31" s="65">
        <f>+Absorption_coefficient*External_surface_heat_resistance*U_opaque_facade*South_opaque_wall_area*'Climate data'!H8-Form_factor_vert*External_surface_heat_resistance*U_opaque_facade*South_opaque_wall_area*(5*Emissivity)*Difference_T_air_sky</f>
        <v>34.458974814814816</v>
      </c>
      <c r="I31" s="65">
        <f>+Absorption_coefficient*External_surface_heat_resistance*U_opaque_facade*South_opaque_wall_area*'Climate data'!I8-Form_factor_vert*External_surface_heat_resistance*U_opaque_facade*South_opaque_wall_area*(5*Emissivity)*Difference_T_air_sky</f>
        <v>35.927950298685765</v>
      </c>
      <c r="J31" s="65">
        <f>+Absorption_coefficient*External_surface_heat_resistance*U_opaque_facade*South_opaque_wall_area*'Climate data'!J8-Form_factor_vert*External_surface_heat_resistance*U_opaque_facade*South_opaque_wall_area*(5*Emissivity)*Difference_T_air_sky</f>
        <v>32.37454814814815</v>
      </c>
      <c r="K31" s="65">
        <f>+Absorption_coefficient*External_surface_heat_resistance*U_opaque_facade*South_opaque_wall_area*'Climate data'!K8-Form_factor_vert*External_surface_heat_resistance*U_opaque_facade*South_opaque_wall_area*(5*Emissivity)*Difference_T_air_sky</f>
        <v>33.916125209080036</v>
      </c>
      <c r="L31" s="65">
        <f>+Absorption_coefficient*External_surface_heat_resistance*U_opaque_facade*South_opaque_wall_area*'Climate data'!L8-Form_factor_vert*External_surface_heat_resistance*U_opaque_facade*South_opaque_wall_area*(5*Emissivity)*Difference_T_air_sky</f>
        <v>35.60908960573477</v>
      </c>
      <c r="M31" s="65">
        <f>+Absorption_coefficient*External_surface_heat_resistance*U_opaque_facade*South_opaque_wall_area*'Climate data'!M8-Form_factor_vert*External_surface_heat_resistance*U_opaque_facade*South_opaque_wall_area*(5*Emissivity)*Difference_T_air_sky</f>
        <v>34.34114172839511</v>
      </c>
      <c r="N31" s="65">
        <f>+Absorption_coefficient*External_surface_heat_resistance*U_opaque_facade*South_opaque_wall_area*'Climate data'!N8-Form_factor_vert*External_surface_heat_resistance*U_opaque_facade*South_opaque_wall_area*(5*Emissivity)*Difference_T_air_sky</f>
        <v>27.967156989247307</v>
      </c>
      <c r="O31" s="65">
        <f>+Absorption_coefficient*External_surface_heat_resistance*U_opaque_facade*South_opaque_wall_area*'Climate data'!O8-Form_factor_vert*External_surface_heat_resistance*U_opaque_facade*South_opaque_wall_area*(5*Emissivity)*Difference_T_air_sky</f>
        <v>10.498410864197535</v>
      </c>
      <c r="P31" s="104">
        <f>+Absorption_coefficient*External_surface_heat_resistance*U_opaque_facade*South_opaque_wall_area*'Climate data'!P8-Form_factor_vert*External_surface_heat_resistance*U_opaque_facade*South_opaque_wall_area*(5*Emissivity)*Difference_T_air_sky</f>
        <v>4.556097491039445</v>
      </c>
      <c r="Q31" s="102"/>
    </row>
    <row r="32" spans="2:17" ht="15.75">
      <c r="B32" s="42"/>
      <c r="C32" s="46" t="s">
        <v>97</v>
      </c>
      <c r="D32" s="37" t="s">
        <v>100</v>
      </c>
      <c r="E32" s="65">
        <f>+Absorption_coefficient*External_surface_heat_resistance*U_opaque_facade*West_opaque_wall_area*'Climate data'!E9-Form_factor_vert*External_surface_heat_resistance*U_opaque_facade*West_opaque_wall_area*(5*Emissivity)*Difference_T_air_sky</f>
        <v>0</v>
      </c>
      <c r="F32" s="65">
        <f>+Absorption_coefficient*External_surface_heat_resistance*U_opaque_facade*West_opaque_wall_area*'Climate data'!F9-Form_factor_vert*External_surface_heat_resistance*U_opaque_facade*West_opaque_wall_area*(5*Emissivity)*Difference_T_air_sky</f>
        <v>0</v>
      </c>
      <c r="G32" s="65">
        <f>+Absorption_coefficient*External_surface_heat_resistance*U_opaque_facade*West_opaque_wall_area*'Climate data'!G9-Form_factor_vert*External_surface_heat_resistance*U_opaque_facade*West_opaque_wall_area*(5*Emissivity)*Difference_T_air_sky</f>
        <v>0</v>
      </c>
      <c r="H32" s="65">
        <f>+Absorption_coefficient*External_surface_heat_resistance*U_opaque_facade*West_opaque_wall_area*'Climate data'!H9-Form_factor_vert*External_surface_heat_resistance*U_opaque_facade*West_opaque_wall_area*(5*Emissivity)*Difference_T_air_sky</f>
        <v>0</v>
      </c>
      <c r="I32" s="65">
        <f>+Absorption_coefficient*External_surface_heat_resistance*U_opaque_facade*West_opaque_wall_area*'Climate data'!I9-Form_factor_vert*External_surface_heat_resistance*U_opaque_facade*West_opaque_wall_area*(5*Emissivity)*Difference_T_air_sky</f>
        <v>0</v>
      </c>
      <c r="J32" s="65">
        <f>+Absorption_coefficient*External_surface_heat_resistance*U_opaque_facade*West_opaque_wall_area*'Climate data'!J9-Form_factor_vert*External_surface_heat_resistance*U_opaque_facade*West_opaque_wall_area*(5*Emissivity)*Difference_T_air_sky</f>
        <v>0</v>
      </c>
      <c r="K32" s="65">
        <f>+Absorption_coefficient*External_surface_heat_resistance*U_opaque_facade*West_opaque_wall_area*'Climate data'!K9-Form_factor_vert*External_surface_heat_resistance*U_opaque_facade*West_opaque_wall_area*(5*Emissivity)*Difference_T_air_sky</f>
        <v>0</v>
      </c>
      <c r="L32" s="65">
        <f>+Absorption_coefficient*External_surface_heat_resistance*U_opaque_facade*West_opaque_wall_area*'Climate data'!L9-Form_factor_vert*External_surface_heat_resistance*U_opaque_facade*West_opaque_wall_area*(5*Emissivity)*Difference_T_air_sky</f>
        <v>0</v>
      </c>
      <c r="M32" s="65">
        <f>+Absorption_coefficient*External_surface_heat_resistance*U_opaque_facade*West_opaque_wall_area*'Climate data'!M9-Form_factor_vert*External_surface_heat_resistance*U_opaque_facade*West_opaque_wall_area*(5*Emissivity)*Difference_T_air_sky</f>
        <v>0</v>
      </c>
      <c r="N32" s="65">
        <f>+Absorption_coefficient*External_surface_heat_resistance*U_opaque_facade*West_opaque_wall_area*'Climate data'!N9-Form_factor_vert*External_surface_heat_resistance*U_opaque_facade*West_opaque_wall_area*(5*Emissivity)*Difference_T_air_sky</f>
        <v>0</v>
      </c>
      <c r="O32" s="65">
        <f>+Absorption_coefficient*External_surface_heat_resistance*U_opaque_facade*West_opaque_wall_area*'Climate data'!O9-Form_factor_vert*External_surface_heat_resistance*U_opaque_facade*West_opaque_wall_area*(5*Emissivity)*Difference_T_air_sky</f>
        <v>0</v>
      </c>
      <c r="P32" s="104">
        <f>+Absorption_coefficient*External_surface_heat_resistance*U_opaque_facade*West_opaque_wall_area*'Climate data'!P9-Form_factor_vert*External_surface_heat_resistance*U_opaque_facade*West_opaque_wall_area*(5*Emissivity)*Difference_T_air_sky</f>
        <v>0</v>
      </c>
      <c r="Q32" s="102"/>
    </row>
    <row r="33" spans="2:17" ht="15.75">
      <c r="B33" s="42"/>
      <c r="C33" s="46" t="s">
        <v>98</v>
      </c>
      <c r="D33" s="37" t="s">
        <v>100</v>
      </c>
      <c r="E33" s="65">
        <f>+Absorption_coefficient*External_surface_heat_resistance*U_opaque_facade*North_opaque_wall_area*'Climate data'!E10-Form_factor_vert*External_surface_heat_resistance*U_opaque_facade*North_opaque_wall_area*(5*Emissivity)*Difference_T_air_sky</f>
        <v>-10.223899928315415</v>
      </c>
      <c r="F33" s="65">
        <f>+Absorption_coefficient*External_surface_heat_resistance*U_opaque_facade*North_opaque_wall_area*'Climate data'!F10-Form_factor_vert*External_surface_heat_resistance*U_opaque_facade*North_opaque_wall_area*(5*Emissivity)*Difference_T_air_sky</f>
        <v>-5.6721255555555565</v>
      </c>
      <c r="G33" s="65">
        <f>+Absorption_coefficient*External_surface_heat_resistance*U_opaque_facade*North_opaque_wall_area*'Climate data'!G10-Form_factor_vert*External_surface_heat_resistance*U_opaque_facade*North_opaque_wall_area*(5*Emissivity)*Difference_T_air_sky</f>
        <v>0.010884874551967627</v>
      </c>
      <c r="H33" s="65">
        <f>+Absorption_coefficient*External_surface_heat_resistance*U_opaque_facade*North_opaque_wall_area*'Climate data'!H10-Form_factor_vert*External_surface_heat_resistance*U_opaque_facade*North_opaque_wall_area*(5*Emissivity)*Difference_T_air_sky</f>
        <v>8.376630370370373</v>
      </c>
      <c r="I33" s="65">
        <f>+Absorption_coefficient*External_surface_heat_resistance*U_opaque_facade*North_opaque_wall_area*'Climate data'!I10-Form_factor_vert*External_surface_heat_resistance*U_opaque_facade*North_opaque_wall_area*(5*Emissivity)*Difference_T_air_sky</f>
        <v>18.080527311827957</v>
      </c>
      <c r="J33" s="65">
        <f>+Absorption_coefficient*External_surface_heat_resistance*U_opaque_facade*North_opaque_wall_area*'Climate data'!J10-Form_factor_vert*External_surface_heat_resistance*U_opaque_facade*North_opaque_wall_area*(5*Emissivity)*Difference_T_air_sky</f>
        <v>19.754458370370337</v>
      </c>
      <c r="K33" s="65">
        <f>+Absorption_coefficient*External_surface_heat_resistance*U_opaque_facade*North_opaque_wall_area*'Climate data'!K10-Form_factor_vert*External_surface_heat_resistance*U_opaque_facade*North_opaque_wall_area*(5*Emissivity)*Difference_T_air_sky</f>
        <v>19.954790107526875</v>
      </c>
      <c r="L33" s="65">
        <f>+Absorption_coefficient*External_surface_heat_resistance*U_opaque_facade*North_opaque_wall_area*'Climate data'!L10-Form_factor_vert*External_surface_heat_resistance*U_opaque_facade*North_opaque_wall_area*(5*Emissivity)*Difference_T_air_sky</f>
        <v>13.32421247311826</v>
      </c>
      <c r="M33" s="65">
        <f>+Absorption_coefficient*External_surface_heat_resistance*U_opaque_facade*North_opaque_wall_area*'Climate data'!M10-Form_factor_vert*External_surface_heat_resistance*U_opaque_facade*North_opaque_wall_area*(5*Emissivity)*Difference_T_air_sky</f>
        <v>3.7571208888888936</v>
      </c>
      <c r="N33" s="65">
        <f>+Absorption_coefficient*External_surface_heat_resistance*U_opaque_facade*North_opaque_wall_area*'Climate data'!N10-Form_factor_vert*External_surface_heat_resistance*U_opaque_facade*North_opaque_wall_area*(5*Emissivity)*Difference_T_air_sky</f>
        <v>-3.4621407885304656</v>
      </c>
      <c r="O33" s="65">
        <f>+Absorption_coefficient*External_surface_heat_resistance*U_opaque_facade*North_opaque_wall_area*'Climate data'!O10-Form_factor_vert*External_surface_heat_resistance*U_opaque_facade*North_opaque_wall_area*(5*Emissivity)*Difference_T_air_sky</f>
        <v>-9.06758844444445</v>
      </c>
      <c r="P33" s="104">
        <f>+Absorption_coefficient*External_surface_heat_resistance*U_opaque_facade*North_opaque_wall_area*'Climate data'!P10-Form_factor_vert*External_surface_heat_resistance*U_opaque_facade*North_opaque_wall_area*(5*Emissivity)*Difference_T_air_sky</f>
        <v>-11.505124731182798</v>
      </c>
      <c r="Q33" s="102"/>
    </row>
    <row r="34" spans="2:17" ht="15.75">
      <c r="B34" s="42"/>
      <c r="C34" s="46" t="s">
        <v>169</v>
      </c>
      <c r="D34" s="37" t="s">
        <v>100</v>
      </c>
      <c r="E34" s="65">
        <f>+Absorption_coefficient*External_surface_heat_resistance*U_door*East_door_area*'Climate data'!E7-Form_factor_vert*External_surface_heat_resistance*U_door*East_door_area*(5*Emissivity)*Difference_T_air_sky</f>
        <v>0</v>
      </c>
      <c r="F34" s="65">
        <f>+Absorption_coefficient*External_surface_heat_resistance*U_door*East_door_area*'Climate data'!F7-Form_factor_vert*External_surface_heat_resistance*U_door*East_door_area*(5*Emissivity)*Difference_T_air_sky</f>
        <v>0</v>
      </c>
      <c r="G34" s="65">
        <f>+Absorption_coefficient*External_surface_heat_resistance*U_door*East_door_area*'Climate data'!G7-Form_factor_vert*External_surface_heat_resistance*U_door*East_door_area*(5*Emissivity)*Difference_T_air_sky</f>
        <v>0</v>
      </c>
      <c r="H34" s="65">
        <f>+Absorption_coefficient*External_surface_heat_resistance*U_door*East_door_area*'Climate data'!H7-Form_factor_vert*External_surface_heat_resistance*U_door*East_door_area*(5*Emissivity)*Difference_T_air_sky</f>
        <v>0</v>
      </c>
      <c r="I34" s="65">
        <f>+Absorption_coefficient*External_surface_heat_resistance*U_door*East_door_area*'Climate data'!I7-Form_factor_vert*External_surface_heat_resistance*U_door*East_door_area*(5*Emissivity)*Difference_T_air_sky</f>
        <v>0</v>
      </c>
      <c r="J34" s="65">
        <f>+Absorption_coefficient*External_surface_heat_resistance*U_door*East_door_area*'Climate data'!J7-Form_factor_vert*External_surface_heat_resistance*U_door*East_door_area*(5*Emissivity)*Difference_T_air_sky</f>
        <v>0</v>
      </c>
      <c r="K34" s="65">
        <f>+Absorption_coefficient*External_surface_heat_resistance*U_door*East_door_area*'Climate data'!K7-Form_factor_vert*External_surface_heat_resistance*U_door*East_door_area*(5*Emissivity)*Difference_T_air_sky</f>
        <v>0</v>
      </c>
      <c r="L34" s="65">
        <f>+Absorption_coefficient*External_surface_heat_resistance*U_door*East_door_area*'Climate data'!L7-Form_factor_vert*External_surface_heat_resistance*U_door*East_door_area*(5*Emissivity)*Difference_T_air_sky</f>
        <v>0</v>
      </c>
      <c r="M34" s="65">
        <f>+Absorption_coefficient*External_surface_heat_resistance*U_door*East_door_area*'Climate data'!M7-Form_factor_vert*External_surface_heat_resistance*U_door*East_door_area*(5*Emissivity)*Difference_T_air_sky</f>
        <v>0</v>
      </c>
      <c r="N34" s="65">
        <f>+Absorption_coefficient*External_surface_heat_resistance*U_door*East_door_area*'Climate data'!N7-Form_factor_vert*External_surface_heat_resistance*U_door*East_door_area*(5*Emissivity)*Difference_T_air_sky</f>
        <v>0</v>
      </c>
      <c r="O34" s="65">
        <f>+Absorption_coefficient*External_surface_heat_resistance*U_door*East_door_area*'Climate data'!O7-Form_factor_vert*External_surface_heat_resistance*U_door*East_door_area*(5*Emissivity)*Difference_T_air_sky</f>
        <v>0</v>
      </c>
      <c r="P34" s="104">
        <f>+Absorption_coefficient*External_surface_heat_resistance*U_door*East_door_area*'Climate data'!P7-Form_factor_vert*External_surface_heat_resistance*U_door*East_door_area*(5*Emissivity)*Difference_T_air_sky</f>
        <v>0</v>
      </c>
      <c r="Q34" s="102"/>
    </row>
    <row r="35" spans="2:17" ht="15.75">
      <c r="B35" s="42"/>
      <c r="C35" s="46" t="s">
        <v>170</v>
      </c>
      <c r="D35" s="37" t="s">
        <v>100</v>
      </c>
      <c r="E35" s="65">
        <f>+Absorption_coefficient*External_surface_heat_resistance*U_door*South_door_area*'Climate data'!E8-Form_factor_vert*External_surface_heat_resistance*U_door*South_door_area*(5*Emissivity)*Difference_T_air_sky</f>
        <v>2.6654695340501835</v>
      </c>
      <c r="F35" s="65">
        <f>+Absorption_coefficient*External_surface_heat_resistance*U_door*South_door_area*'Climate data'!F8-Form_factor_vert*External_surface_heat_resistance*U_door*South_door_area*(5*Emissivity)*Difference_T_air_sky</f>
        <v>8.743515873015884</v>
      </c>
      <c r="G35" s="65">
        <f>+Absorption_coefficient*External_surface_heat_resistance*U_door*South_door_area*'Climate data'!G8-Form_factor_vert*External_surface_heat_resistance*U_door*South_door_area*(5*Emissivity)*Difference_T_air_sky</f>
        <v>11.97060215053765</v>
      </c>
      <c r="H35" s="65">
        <f>+Absorption_coefficient*External_surface_heat_resistance*U_door*South_door_area*'Climate data'!H8-Form_factor_vert*External_surface_heat_resistance*U_door*South_door_area*(5*Emissivity)*Difference_T_air_sky</f>
        <v>15.202488888888892</v>
      </c>
      <c r="I35" s="65">
        <f>+Absorption_coefficient*External_surface_heat_resistance*U_door*South_door_area*'Climate data'!I8-Form_factor_vert*External_surface_heat_resistance*U_door*South_door_area*(5*Emissivity)*Difference_T_air_sky</f>
        <v>15.850566308243723</v>
      </c>
      <c r="J35" s="65">
        <f>+Absorption_coefficient*External_surface_heat_resistance*U_door*South_door_area*'Climate data'!J8-Form_factor_vert*External_surface_heat_resistance*U_door*South_door_area*(5*Emissivity)*Difference_T_air_sky</f>
        <v>14.28288888888889</v>
      </c>
      <c r="K35" s="65">
        <f>+Absorption_coefficient*External_surface_heat_resistance*U_door*South_door_area*'Climate data'!K8-Form_factor_vert*External_surface_heat_resistance*U_door*South_door_area*(5*Emissivity)*Difference_T_air_sky</f>
        <v>14.962996415770606</v>
      </c>
      <c r="L35" s="65">
        <f>+Absorption_coefficient*External_surface_heat_resistance*U_door*South_door_area*'Climate data'!L8-Form_factor_vert*External_surface_heat_resistance*U_door*South_door_area*(5*Emissivity)*Difference_T_air_sky</f>
        <v>15.709892473118282</v>
      </c>
      <c r="M35" s="65">
        <f>+Absorption_coefficient*External_surface_heat_resistance*U_door*South_door_area*'Climate data'!M8-Form_factor_vert*External_surface_heat_resistance*U_door*South_door_area*(5*Emissivity)*Difference_T_air_sky</f>
        <v>15.150503703703725</v>
      </c>
      <c r="N35" s="65">
        <f>+Absorption_coefficient*External_surface_heat_resistance*U_door*South_door_area*'Climate data'!N8-Form_factor_vert*External_surface_heat_resistance*U_door*South_door_area*(5*Emissivity)*Difference_T_air_sky</f>
        <v>12.338451612903226</v>
      </c>
      <c r="O35" s="65">
        <f>+Absorption_coefficient*External_surface_heat_resistance*U_door*South_door_area*'Climate data'!O8-Form_factor_vert*External_surface_heat_resistance*U_door*South_door_area*(5*Emissivity)*Difference_T_air_sky</f>
        <v>4.631651851851853</v>
      </c>
      <c r="P35" s="104">
        <f>+Absorption_coefficient*External_surface_heat_resistance*U_door*South_door_area*'Climate data'!P8-Form_factor_vert*External_surface_heat_resistance*U_door*South_door_area*(5*Emissivity)*Difference_T_air_sky</f>
        <v>2.010043010752696</v>
      </c>
      <c r="Q35" s="102"/>
    </row>
    <row r="36" spans="2:17" ht="15.75">
      <c r="B36" s="42"/>
      <c r="C36" s="46" t="s">
        <v>171</v>
      </c>
      <c r="D36" s="37" t="s">
        <v>100</v>
      </c>
      <c r="E36" s="65">
        <f>+Absorption_coefficient*External_surface_heat_resistance*U_door*West_door_area*'Climate data'!E9-Form_factor_vert*External_surface_heat_resistance*U_door*West_door_area*(5*Emissivity)*Difference_T_air_sky</f>
        <v>0</v>
      </c>
      <c r="F36" s="65">
        <f>+Absorption_coefficient*External_surface_heat_resistance*U_door*West_door_area*'Climate data'!F9-Form_factor_vert*External_surface_heat_resistance*U_door*West_door_area*(5*Emissivity)*Difference_T_air_sky</f>
        <v>0</v>
      </c>
      <c r="G36" s="65">
        <f>+Absorption_coefficient*External_surface_heat_resistance*U_door*West_door_area*'Climate data'!G9-Form_factor_vert*External_surface_heat_resistance*U_door*West_door_area*(5*Emissivity)*Difference_T_air_sky</f>
        <v>0</v>
      </c>
      <c r="H36" s="65">
        <f>+Absorption_coefficient*External_surface_heat_resistance*U_door*West_door_area*'Climate data'!H9-Form_factor_vert*External_surface_heat_resistance*U_door*West_door_area*(5*Emissivity)*Difference_T_air_sky</f>
        <v>0</v>
      </c>
      <c r="I36" s="65">
        <f>+Absorption_coefficient*External_surface_heat_resistance*U_door*West_door_area*'Climate data'!I9-Form_factor_vert*External_surface_heat_resistance*U_door*West_door_area*(5*Emissivity)*Difference_T_air_sky</f>
        <v>0</v>
      </c>
      <c r="J36" s="65">
        <f>+Absorption_coefficient*External_surface_heat_resistance*U_door*West_door_area*'Climate data'!J9-Form_factor_vert*External_surface_heat_resistance*U_door*West_door_area*(5*Emissivity)*Difference_T_air_sky</f>
        <v>0</v>
      </c>
      <c r="K36" s="65">
        <f>+Absorption_coefficient*External_surface_heat_resistance*U_door*West_door_area*'Climate data'!K9-Form_factor_vert*External_surface_heat_resistance*U_door*West_door_area*(5*Emissivity)*Difference_T_air_sky</f>
        <v>0</v>
      </c>
      <c r="L36" s="65">
        <f>+Absorption_coefficient*External_surface_heat_resistance*U_door*West_door_area*'Climate data'!L9-Form_factor_vert*External_surface_heat_resistance*U_door*West_door_area*(5*Emissivity)*Difference_T_air_sky</f>
        <v>0</v>
      </c>
      <c r="M36" s="65">
        <f>+Absorption_coefficient*External_surface_heat_resistance*U_door*West_door_area*'Climate data'!M9-Form_factor_vert*External_surface_heat_resistance*U_door*West_door_area*(5*Emissivity)*Difference_T_air_sky</f>
        <v>0</v>
      </c>
      <c r="N36" s="65">
        <f>+Absorption_coefficient*External_surface_heat_resistance*U_door*West_door_area*'Climate data'!N9-Form_factor_vert*External_surface_heat_resistance*U_door*West_door_area*(5*Emissivity)*Difference_T_air_sky</f>
        <v>0</v>
      </c>
      <c r="O36" s="65">
        <f>+Absorption_coefficient*External_surface_heat_resistance*U_door*West_door_area*'Climate data'!O9-Form_factor_vert*External_surface_heat_resistance*U_door*West_door_area*(5*Emissivity)*Difference_T_air_sky</f>
        <v>0</v>
      </c>
      <c r="P36" s="104">
        <f>+Absorption_coefficient*External_surface_heat_resistance*U_door*West_door_area*'Climate data'!P9-Form_factor_vert*External_surface_heat_resistance*U_door*West_door_area*(5*Emissivity)*Difference_T_air_sky</f>
        <v>0</v>
      </c>
      <c r="Q36" s="102"/>
    </row>
    <row r="37" spans="2:17" ht="15.75">
      <c r="B37" s="42"/>
      <c r="C37" s="46" t="s">
        <v>172</v>
      </c>
      <c r="D37" s="37" t="s">
        <v>100</v>
      </c>
      <c r="E37" s="65">
        <f>+Absorption_coefficient*External_surface_heat_resistance*U_door*North_door_area*'Climate data'!E10-Form_factor_vert*External_surface_heat_resistance*U_door*North_door_area*(5*Emissivity)*Difference_T_air_sky</f>
        <v>-4.295756272401434</v>
      </c>
      <c r="F37" s="65">
        <f>+Absorption_coefficient*External_surface_heat_resistance*U_door*North_door_area*'Climate data'!F10-Form_factor_vert*External_surface_heat_resistance*U_door*North_door_area*(5*Emissivity)*Difference_T_air_sky</f>
        <v>-2.3832460317460313</v>
      </c>
      <c r="G37" s="65">
        <f>+Absorption_coefficient*External_surface_heat_resistance*U_door*North_door_area*'Climate data'!G10-Form_factor_vert*External_surface_heat_resistance*U_door*North_door_area*(5*Emissivity)*Difference_T_air_sky</f>
        <v>0.004573476702507406</v>
      </c>
      <c r="H37" s="65">
        <f>+Absorption_coefficient*External_surface_heat_resistance*U_door*North_door_area*'Climate data'!H10-Form_factor_vert*External_surface_heat_resistance*U_door*North_door_area*(5*Emissivity)*Difference_T_air_sky</f>
        <v>3.519592592592593</v>
      </c>
      <c r="I37" s="65">
        <f>+Absorption_coefficient*External_surface_heat_resistance*U_door*North_door_area*'Climate data'!I10-Form_factor_vert*External_surface_heat_resistance*U_door*North_door_area*(5*Emissivity)*Difference_T_air_sky</f>
        <v>7.5968602150537645</v>
      </c>
      <c r="J37" s="65">
        <f>+Absorption_coefficient*External_surface_heat_resistance*U_door*North_door_area*'Climate data'!J10-Form_factor_vert*External_surface_heat_resistance*U_door*North_door_area*(5*Emissivity)*Difference_T_air_sky</f>
        <v>8.30019259259258</v>
      </c>
      <c r="K37" s="65">
        <f>+Absorption_coefficient*External_surface_heat_resistance*U_door*North_door_area*'Climate data'!K10-Form_factor_vert*External_surface_heat_resistance*U_door*North_door_area*(5*Emissivity)*Difference_T_air_sky</f>
        <v>8.384365591397847</v>
      </c>
      <c r="L37" s="65">
        <f>+Absorption_coefficient*External_surface_heat_resistance*U_door*North_door_area*'Climate data'!L10-Form_factor_vert*External_surface_heat_resistance*U_door*North_door_area*(5*Emissivity)*Difference_T_air_sky</f>
        <v>5.5984086021505295</v>
      </c>
      <c r="M37" s="65">
        <f>+Absorption_coefficient*External_surface_heat_resistance*U_door*North_door_area*'Climate data'!M10-Form_factor_vert*External_surface_heat_resistance*U_door*North_door_area*(5*Emissivity)*Difference_T_air_sky</f>
        <v>1.578622222222224</v>
      </c>
      <c r="N37" s="65">
        <f>+Absorption_coefficient*External_surface_heat_resistance*U_door*North_door_area*'Climate data'!N10-Form_factor_vert*External_surface_heat_resistance*U_door*North_door_area*(5*Emissivity)*Difference_T_air_sky</f>
        <v>-1.4546810035842288</v>
      </c>
      <c r="O37" s="65">
        <f>+Absorption_coefficient*External_surface_heat_resistance*U_door*North_door_area*'Climate data'!O10-Form_factor_vert*External_surface_heat_resistance*U_door*North_door_area*(5*Emissivity)*Difference_T_air_sky</f>
        <v>-3.8099111111111132</v>
      </c>
      <c r="P37" s="104">
        <f>+Absorption_coefficient*External_surface_heat_resistance*U_door*North_door_area*'Climate data'!P10-Form_factor_vert*External_surface_heat_resistance*U_door*North_door_area*(5*Emissivity)*Difference_T_air_sky</f>
        <v>-4.834086021505377</v>
      </c>
      <c r="Q37" s="102"/>
    </row>
    <row r="38" spans="2:17" ht="16.5" thickBot="1">
      <c r="B38" s="42"/>
      <c r="C38" s="49" t="s">
        <v>99</v>
      </c>
      <c r="D38" s="79" t="s">
        <v>100</v>
      </c>
      <c r="E38" s="98">
        <f>+Absorption_coefficient*External_surface_heat_resistance*U_opaque_roof*Roof_area*'Climate data'!E11-Form_factor_hor*External_surface_heat_resistance*U_opaque_roof*Roof_area*(5*Emissivity)*Difference_T_air_sky</f>
        <v>-11.070703213859025</v>
      </c>
      <c r="F38" s="98">
        <f>+Absorption_coefficient*External_surface_heat_resistance*U_opaque_roof*Roof_area*'Climate data'!F11-Form_factor_hor*External_surface_heat_resistance*U_opaque_roof*Roof_area*(5*Emissivity)*Difference_T_air_sky</f>
        <v>-2.1826404312169423</v>
      </c>
      <c r="G38" s="98">
        <f>+Absorption_coefficient*External_surface_heat_resistance*U_opaque_roof*Roof_area*'Climate data'!G11-Form_factor_hor*External_surface_heat_resistance*U_opaque_roof*Roof_area*(5*Emissivity)*Difference_T_air_sky</f>
        <v>8.610994676224614</v>
      </c>
      <c r="H38" s="98">
        <f>+Absorption_coefficient*External_surface_heat_resistance*U_opaque_roof*Roof_area*'Climate data'!H11-Form_factor_hor*External_surface_heat_resistance*U_opaque_roof*Roof_area*(5*Emissivity)*Difference_T_air_sky</f>
        <v>25.434746067901234</v>
      </c>
      <c r="I38" s="98">
        <f>+Absorption_coefficient*External_surface_heat_resistance*U_opaque_roof*Roof_area*'Climate data'!I11-Form_factor_hor*External_surface_heat_resistance*U_opaque_roof*Roof_area*(5*Emissivity)*Difference_T_air_sky</f>
        <v>40.037166765830335</v>
      </c>
      <c r="J38" s="98">
        <f>+Absorption_coefficient*External_surface_heat_resistance*U_opaque_roof*Roof_area*'Climate data'!J11-Form_factor_hor*External_surface_heat_resistance*U_opaque_roof*Roof_area*(5*Emissivity)*Difference_T_air_sky</f>
        <v>42.57719054320988</v>
      </c>
      <c r="K38" s="98">
        <f>+Absorption_coefficient*External_surface_heat_resistance*U_opaque_roof*Roof_area*'Climate data'!K11-Form_factor_hor*External_surface_heat_resistance*U_opaque_roof*Roof_area*(5*Emissivity)*Difference_T_air_sky</f>
        <v>40.98921642771805</v>
      </c>
      <c r="L38" s="98">
        <f>+Absorption_coefficient*External_surface_heat_resistance*U_opaque_roof*Roof_area*'Climate data'!L11-Form_factor_hor*External_surface_heat_resistance*U_opaque_roof*Roof_area*(5*Emissivity)*Difference_T_air_sky</f>
        <v>33.05140015053763</v>
      </c>
      <c r="M38" s="98">
        <f>+Absorption_coefficient*External_surface_heat_resistance*U_opaque_roof*Roof_area*'Climate data'!M11-Form_factor_hor*External_surface_heat_resistance*U_opaque_roof*Roof_area*(5*Emissivity)*Difference_T_air_sky</f>
        <v>17.498703600000002</v>
      </c>
      <c r="N38" s="98">
        <f>+Absorption_coefficient*External_surface_heat_resistance*U_opaque_roof*Roof_area*'Climate data'!N11-Form_factor_hor*External_surface_heat_resistance*U_opaque_roof*Roof_area*(5*Emissivity)*Difference_T_air_sky</f>
        <v>3.2128861302270018</v>
      </c>
      <c r="O38" s="98">
        <f>+Absorption_coefficient*External_surface_heat_resistance*U_opaque_roof*Roof_area*'Climate data'!O11-Form_factor_hor*External_surface_heat_resistance*U_opaque_roof*Roof_area*(5*Emissivity)*Difference_T_air_sky</f>
        <v>-8.84928560740741</v>
      </c>
      <c r="P38" s="80">
        <f>+Absorption_coefficient*External_surface_heat_resistance*U_opaque_roof*Roof_area*'Climate data'!P11-Form_factor_hor*External_surface_heat_resistance*U_opaque_roof*Roof_area*(5*Emissivity)*Difference_T_air_sky</f>
        <v>-12.975158089605738</v>
      </c>
      <c r="Q38" s="102"/>
    </row>
    <row r="39" spans="2:17" ht="16.5" thickBot="1">
      <c r="B39" s="42"/>
      <c r="C39" s="105" t="s">
        <v>101</v>
      </c>
      <c r="D39" s="106" t="s">
        <v>1</v>
      </c>
      <c r="E39" s="107">
        <f>SUM(E26:E38)*Length_of_month</f>
        <v>614.1892845440003</v>
      </c>
      <c r="F39" s="107">
        <f aca="true" t="shared" si="3" ref="F39:P39">SUM(F26:F38)*Length_of_month</f>
        <v>1177.0139485648008</v>
      </c>
      <c r="G39" s="107">
        <f t="shared" si="3"/>
        <v>1825.1098145088013</v>
      </c>
      <c r="H39" s="107">
        <f t="shared" si="3"/>
        <v>2376.1602876480006</v>
      </c>
      <c r="I39" s="107">
        <f t="shared" si="3"/>
        <v>2951.2177143376007</v>
      </c>
      <c r="J39" s="107">
        <f t="shared" si="3"/>
        <v>2799.0823013439995</v>
      </c>
      <c r="K39" s="107">
        <f t="shared" si="3"/>
        <v>2933.7081870639995</v>
      </c>
      <c r="L39" s="107">
        <f t="shared" si="3"/>
        <v>2702.9885941711996</v>
      </c>
      <c r="M39" s="107">
        <f t="shared" si="3"/>
        <v>2180.118418035202</v>
      </c>
      <c r="N39" s="107">
        <f t="shared" si="3"/>
        <v>1696.3462894831996</v>
      </c>
      <c r="O39" s="107">
        <f t="shared" si="3"/>
        <v>787.1874668176002</v>
      </c>
      <c r="P39" s="108">
        <f t="shared" si="3"/>
        <v>506.60045985280055</v>
      </c>
      <c r="Q39" s="102"/>
    </row>
    <row r="40" spans="2:17" ht="13.5" thickBot="1">
      <c r="B40" s="42"/>
      <c r="C40" s="28"/>
      <c r="D40" s="37"/>
      <c r="E40" s="61"/>
      <c r="F40" s="61"/>
      <c r="G40" s="61"/>
      <c r="H40" s="61"/>
      <c r="I40" s="61"/>
      <c r="J40" s="61"/>
      <c r="K40" s="61"/>
      <c r="L40" s="61"/>
      <c r="M40" s="61"/>
      <c r="N40" s="61"/>
      <c r="O40" s="61"/>
      <c r="P40" s="61"/>
      <c r="Q40" s="102"/>
    </row>
    <row r="41" spans="2:17" ht="12.75">
      <c r="B41" s="42"/>
      <c r="C41" s="93" t="s">
        <v>111</v>
      </c>
      <c r="D41" s="99"/>
      <c r="E41" s="100"/>
      <c r="F41" s="100"/>
      <c r="G41" s="100"/>
      <c r="H41" s="100"/>
      <c r="I41" s="100"/>
      <c r="J41" s="100"/>
      <c r="K41" s="100"/>
      <c r="L41" s="100"/>
      <c r="M41" s="100"/>
      <c r="N41" s="100"/>
      <c r="O41" s="100"/>
      <c r="P41" s="101"/>
      <c r="Q41" s="102"/>
    </row>
    <row r="42" spans="2:17" ht="15.75">
      <c r="B42" s="42"/>
      <c r="C42" s="46" t="s">
        <v>142</v>
      </c>
      <c r="D42" s="28" t="s">
        <v>1</v>
      </c>
      <c r="E42" s="109">
        <f aca="true" t="shared" si="4" ref="E42:P42">Qt_C+Qv_C</f>
        <v>12436.089440066997</v>
      </c>
      <c r="F42" s="109">
        <f t="shared" si="4"/>
        <v>10862.660501540999</v>
      </c>
      <c r="G42" s="109">
        <f t="shared" si="4"/>
        <v>10579.098167396996</v>
      </c>
      <c r="H42" s="109">
        <f t="shared" si="4"/>
        <v>8562.369889061998</v>
      </c>
      <c r="I42" s="109">
        <f t="shared" si="4"/>
        <v>6534.215167985994</v>
      </c>
      <c r="J42" s="109">
        <f t="shared" si="4"/>
        <v>4754.877067412997</v>
      </c>
      <c r="K42" s="109">
        <f t="shared" si="4"/>
        <v>3930.4631101950035</v>
      </c>
      <c r="L42" s="109">
        <f t="shared" si="4"/>
        <v>4048.147697336989</v>
      </c>
      <c r="M42" s="109">
        <f t="shared" si="4"/>
        <v>5373.770517099001</v>
      </c>
      <c r="N42" s="109">
        <f t="shared" si="4"/>
        <v>7864.424111024999</v>
      </c>
      <c r="O42" s="109">
        <f t="shared" si="4"/>
        <v>10072.370410739997</v>
      </c>
      <c r="P42" s="47">
        <f t="shared" si="4"/>
        <v>11913.582310101</v>
      </c>
      <c r="Q42" s="102"/>
    </row>
    <row r="43" spans="2:17" ht="16.5" thickBot="1">
      <c r="B43" s="42"/>
      <c r="C43" s="49" t="s">
        <v>143</v>
      </c>
      <c r="D43" s="79" t="s">
        <v>1</v>
      </c>
      <c r="E43" s="98">
        <f>Qsol_C+Qi_C</f>
        <v>2693.5383405439998</v>
      </c>
      <c r="F43" s="98">
        <f aca="true" t="shared" si="5" ref="F43:P43">Qsol_C+Qi_C</f>
        <v>3055.1356765648006</v>
      </c>
      <c r="G43" s="98">
        <f t="shared" si="5"/>
        <v>3904.458870508801</v>
      </c>
      <c r="H43" s="98">
        <f t="shared" si="5"/>
        <v>4388.4335676480005</v>
      </c>
      <c r="I43" s="98">
        <f t="shared" si="5"/>
        <v>5030.5667703376</v>
      </c>
      <c r="J43" s="98">
        <f t="shared" si="5"/>
        <v>4811.355581344</v>
      </c>
      <c r="K43" s="98">
        <f t="shared" si="5"/>
        <v>5013.057243063999</v>
      </c>
      <c r="L43" s="98">
        <f t="shared" si="5"/>
        <v>4782.337650171199</v>
      </c>
      <c r="M43" s="98">
        <f t="shared" si="5"/>
        <v>4192.391698035202</v>
      </c>
      <c r="N43" s="98">
        <f t="shared" si="5"/>
        <v>3775.695345483199</v>
      </c>
      <c r="O43" s="98">
        <f t="shared" si="5"/>
        <v>2799.4607468176</v>
      </c>
      <c r="P43" s="80">
        <f t="shared" si="5"/>
        <v>2585.9495158528002</v>
      </c>
      <c r="Q43" s="44"/>
    </row>
    <row r="44" spans="2:17" ht="13.5" thickBot="1">
      <c r="B44" s="42"/>
      <c r="C44" s="37"/>
      <c r="D44" s="37"/>
      <c r="E44" s="61"/>
      <c r="F44" s="61"/>
      <c r="G44" s="61"/>
      <c r="H44" s="61"/>
      <c r="I44" s="61"/>
      <c r="J44" s="61"/>
      <c r="K44" s="61"/>
      <c r="L44" s="61"/>
      <c r="M44" s="61"/>
      <c r="N44" s="61"/>
      <c r="O44" s="61"/>
      <c r="P44" s="61"/>
      <c r="Q44" s="44"/>
    </row>
    <row r="45" spans="2:17" ht="13.5" thickBot="1">
      <c r="B45" s="42"/>
      <c r="C45" s="93" t="s">
        <v>199</v>
      </c>
      <c r="D45" s="94"/>
      <c r="E45" s="95"/>
      <c r="F45" s="95"/>
      <c r="G45" s="95"/>
      <c r="H45" s="95"/>
      <c r="I45" s="95"/>
      <c r="J45" s="95"/>
      <c r="K45" s="95"/>
      <c r="L45" s="95"/>
      <c r="M45" s="95"/>
      <c r="N45" s="95"/>
      <c r="O45" s="95"/>
      <c r="P45" s="96"/>
      <c r="Q45" s="44"/>
    </row>
    <row r="46" spans="2:17" ht="12.75">
      <c r="B46" s="42"/>
      <c r="C46" s="110" t="s">
        <v>120</v>
      </c>
      <c r="D46" s="111" t="s">
        <v>3</v>
      </c>
      <c r="E46" s="112">
        <f aca="true" t="shared" si="6" ref="E46:P46">+(Building_mass*Total_usable_area/3600)/(Ht_C+Hv_C)</f>
        <v>61.58979009931224</v>
      </c>
      <c r="F46" s="112">
        <f t="shared" si="6"/>
        <v>61.58979009931224</v>
      </c>
      <c r="G46" s="112">
        <f t="shared" si="6"/>
        <v>61.58979009931224</v>
      </c>
      <c r="H46" s="112">
        <f t="shared" si="6"/>
        <v>61.58979009931224</v>
      </c>
      <c r="I46" s="112">
        <f t="shared" si="6"/>
        <v>61.58979009931224</v>
      </c>
      <c r="J46" s="112">
        <f t="shared" si="6"/>
        <v>61.58979009931224</v>
      </c>
      <c r="K46" s="112">
        <f t="shared" si="6"/>
        <v>61.58979009931224</v>
      </c>
      <c r="L46" s="112">
        <f t="shared" si="6"/>
        <v>61.58979009931224</v>
      </c>
      <c r="M46" s="112">
        <f t="shared" si="6"/>
        <v>61.58979009931224</v>
      </c>
      <c r="N46" s="112">
        <f t="shared" si="6"/>
        <v>61.58979009931224</v>
      </c>
      <c r="O46" s="112">
        <f t="shared" si="6"/>
        <v>61.58979009931224</v>
      </c>
      <c r="P46" s="113">
        <f t="shared" si="6"/>
        <v>61.58979009931224</v>
      </c>
      <c r="Q46" s="44"/>
    </row>
    <row r="47" spans="2:17" ht="15.75">
      <c r="B47" s="42"/>
      <c r="C47" s="46" t="s">
        <v>144</v>
      </c>
      <c r="D47" s="114" t="s">
        <v>0</v>
      </c>
      <c r="E47" s="115">
        <f aca="true" t="shared" si="7" ref="E47:P47">+a_0C+(tau_C/tau_0C)</f>
        <v>5.105986006620816</v>
      </c>
      <c r="F47" s="115">
        <f t="shared" si="7"/>
        <v>5.105986006620816</v>
      </c>
      <c r="G47" s="115">
        <f t="shared" si="7"/>
        <v>5.105986006620816</v>
      </c>
      <c r="H47" s="115">
        <f t="shared" si="7"/>
        <v>5.105986006620816</v>
      </c>
      <c r="I47" s="115">
        <f t="shared" si="7"/>
        <v>5.105986006620816</v>
      </c>
      <c r="J47" s="115">
        <f t="shared" si="7"/>
        <v>5.105986006620816</v>
      </c>
      <c r="K47" s="115">
        <f t="shared" si="7"/>
        <v>5.105986006620816</v>
      </c>
      <c r="L47" s="115">
        <f t="shared" si="7"/>
        <v>5.105986006620816</v>
      </c>
      <c r="M47" s="115">
        <f t="shared" si="7"/>
        <v>5.105986006620816</v>
      </c>
      <c r="N47" s="115">
        <f t="shared" si="7"/>
        <v>5.105986006620816</v>
      </c>
      <c r="O47" s="115">
        <f t="shared" si="7"/>
        <v>5.105986006620816</v>
      </c>
      <c r="P47" s="116">
        <f t="shared" si="7"/>
        <v>5.105986006620816</v>
      </c>
      <c r="Q47" s="44"/>
    </row>
    <row r="48" spans="2:17" ht="15.75">
      <c r="B48" s="42"/>
      <c r="C48" s="46" t="s">
        <v>145</v>
      </c>
      <c r="D48" s="114" t="s">
        <v>0</v>
      </c>
      <c r="E48" s="57">
        <f aca="true" t="shared" si="8" ref="E48:P48">+QGC/QLC</f>
        <v>0.21659046065283757</v>
      </c>
      <c r="F48" s="57">
        <f t="shared" si="8"/>
        <v>0.2812511424923381</v>
      </c>
      <c r="G48" s="57">
        <f t="shared" si="8"/>
        <v>0.36907294069183394</v>
      </c>
      <c r="H48" s="57">
        <f t="shared" si="8"/>
        <v>0.5125255769730301</v>
      </c>
      <c r="I48" s="57">
        <f t="shared" si="8"/>
        <v>0.7698807953225306</v>
      </c>
      <c r="J48" s="57">
        <f t="shared" si="8"/>
        <v>1.0118780176922073</v>
      </c>
      <c r="K48" s="57">
        <f t="shared" si="8"/>
        <v>1.2754367876042179</v>
      </c>
      <c r="L48" s="57">
        <f t="shared" si="8"/>
        <v>1.1813644184270218</v>
      </c>
      <c r="M48" s="57">
        <f t="shared" si="8"/>
        <v>0.7801583049918627</v>
      </c>
      <c r="N48" s="57">
        <f t="shared" si="8"/>
        <v>0.4800981346097698</v>
      </c>
      <c r="O48" s="57">
        <f t="shared" si="8"/>
        <v>0.2779346502023578</v>
      </c>
      <c r="P48" s="97">
        <f t="shared" si="8"/>
        <v>0.21705893731562909</v>
      </c>
      <c r="Q48" s="44"/>
    </row>
    <row r="49" spans="2:17" ht="16.5" thickBot="1">
      <c r="B49" s="42"/>
      <c r="C49" s="46" t="s">
        <v>147</v>
      </c>
      <c r="D49" s="114" t="s">
        <v>0</v>
      </c>
      <c r="E49" s="117">
        <f aca="true" t="shared" si="9" ref="E49:P49">+IF(gamma_C=1,(aC/(aC+1)),IF(gamma_C&lt;=0,1,(1-POWER(gamma_C,-aC))/(1-POWER(gamma_C,-1*(aC+1)))))</f>
        <v>0.21652168258092186</v>
      </c>
      <c r="F49" s="117">
        <f t="shared" si="9"/>
        <v>0.28094001198343593</v>
      </c>
      <c r="G49" s="117">
        <f t="shared" si="9"/>
        <v>0.36763493351704984</v>
      </c>
      <c r="H49" s="117">
        <f t="shared" si="9"/>
        <v>0.5041526919260225</v>
      </c>
      <c r="I49" s="117">
        <f t="shared" si="9"/>
        <v>0.7114360499545876</v>
      </c>
      <c r="J49" s="117">
        <f t="shared" si="9"/>
        <v>0.84112319590727</v>
      </c>
      <c r="K49" s="117">
        <f t="shared" si="9"/>
        <v>0.919398122170236</v>
      </c>
      <c r="L49" s="117">
        <f t="shared" si="9"/>
        <v>0.8973476168723594</v>
      </c>
      <c r="M49" s="117">
        <f t="shared" si="9"/>
        <v>0.718289390144594</v>
      </c>
      <c r="N49" s="117">
        <f t="shared" si="9"/>
        <v>0.4741404803960378</v>
      </c>
      <c r="O49" s="117">
        <f t="shared" si="9"/>
        <v>0.27764393135029536</v>
      </c>
      <c r="P49" s="118">
        <f t="shared" si="9"/>
        <v>0.21698928745443447</v>
      </c>
      <c r="Q49" s="44"/>
    </row>
    <row r="50" spans="2:17" ht="16.5" thickBot="1">
      <c r="B50" s="42"/>
      <c r="C50" s="105" t="s">
        <v>146</v>
      </c>
      <c r="D50" s="106" t="s">
        <v>1</v>
      </c>
      <c r="E50" s="107">
        <f aca="true" t="shared" si="10" ref="E50:P50">MAX(QGC-(eta_LC*QLC),0)</f>
        <v>0.8553302538593925</v>
      </c>
      <c r="F50" s="107">
        <f t="shared" si="10"/>
        <v>3.379705089876097</v>
      </c>
      <c r="G50" s="107">
        <f t="shared" si="10"/>
        <v>15.212819067462078</v>
      </c>
      <c r="H50" s="107">
        <f t="shared" si="10"/>
        <v>71.69173881107508</v>
      </c>
      <c r="I50" s="107">
        <f t="shared" si="10"/>
        <v>381.8905416722919</v>
      </c>
      <c r="J50" s="107">
        <f t="shared" si="10"/>
        <v>811.9181862553914</v>
      </c>
      <c r="K50" s="107">
        <f t="shared" si="10"/>
        <v>1399.396840291327</v>
      </c>
      <c r="L50" s="107">
        <f t="shared" si="10"/>
        <v>1149.7419612185226</v>
      </c>
      <c r="M50" s="107">
        <f t="shared" si="10"/>
        <v>332.4693505311611</v>
      </c>
      <c r="N50" s="107">
        <f t="shared" si="10"/>
        <v>46.85351944362401</v>
      </c>
      <c r="O50" s="107">
        <f t="shared" si="10"/>
        <v>2.92822796335804</v>
      </c>
      <c r="P50" s="108">
        <f t="shared" si="10"/>
        <v>0.8297793542292311</v>
      </c>
      <c r="Q50" s="119"/>
    </row>
    <row r="51" spans="2:17" s="92" customFormat="1" ht="13.5" thickBot="1">
      <c r="B51" s="86"/>
      <c r="C51" s="28"/>
      <c r="D51" s="28"/>
      <c r="E51" s="120"/>
      <c r="F51" s="120"/>
      <c r="G51" s="120"/>
      <c r="H51" s="120"/>
      <c r="I51" s="120"/>
      <c r="J51" s="120"/>
      <c r="K51" s="120"/>
      <c r="L51" s="120"/>
      <c r="M51" s="120"/>
      <c r="N51" s="120"/>
      <c r="O51" s="120"/>
      <c r="P51" s="120"/>
      <c r="Q51" s="91"/>
    </row>
    <row r="52" spans="2:17" s="92" customFormat="1" ht="12.75">
      <c r="B52" s="86"/>
      <c r="C52" s="121" t="s">
        <v>200</v>
      </c>
      <c r="D52" s="122"/>
      <c r="E52" s="123"/>
      <c r="F52" s="124"/>
      <c r="G52" s="124"/>
      <c r="H52" s="124"/>
      <c r="I52" s="124"/>
      <c r="J52" s="124"/>
      <c r="K52" s="124"/>
      <c r="L52" s="124"/>
      <c r="M52" s="124"/>
      <c r="N52" s="124"/>
      <c r="O52" s="124"/>
      <c r="P52" s="124"/>
      <c r="Q52" s="91"/>
    </row>
    <row r="53" spans="2:17" s="92" customFormat="1" ht="15.75">
      <c r="B53" s="86"/>
      <c r="C53" s="46" t="s">
        <v>146</v>
      </c>
      <c r="D53" s="28" t="s">
        <v>1</v>
      </c>
      <c r="E53" s="47">
        <f>SUM(E50:P50)</f>
        <v>4217.167999952178</v>
      </c>
      <c r="F53" s="109"/>
      <c r="G53" s="109"/>
      <c r="H53" s="109"/>
      <c r="I53" s="109"/>
      <c r="J53" s="109"/>
      <c r="K53" s="109"/>
      <c r="L53" s="109"/>
      <c r="M53" s="109"/>
      <c r="N53" s="109"/>
      <c r="O53" s="109"/>
      <c r="P53" s="109"/>
      <c r="Q53" s="91"/>
    </row>
    <row r="54" spans="2:17" s="92" customFormat="1" ht="15.75">
      <c r="B54" s="86"/>
      <c r="C54" s="46" t="s">
        <v>125</v>
      </c>
      <c r="D54" s="28" t="s">
        <v>1</v>
      </c>
      <c r="E54" s="47">
        <f>IF(Cooling_system_efficiency=0,0,QNC/Cooling_system_efficiency)</f>
        <v>0</v>
      </c>
      <c r="F54" s="109"/>
      <c r="G54" s="109"/>
      <c r="H54" s="109"/>
      <c r="I54" s="109"/>
      <c r="J54" s="109"/>
      <c r="K54" s="109"/>
      <c r="L54" s="109"/>
      <c r="M54" s="109"/>
      <c r="N54" s="109"/>
      <c r="O54" s="109"/>
      <c r="P54" s="109"/>
      <c r="Q54" s="91"/>
    </row>
    <row r="55" spans="2:17" s="92" customFormat="1" ht="16.5" thickBot="1">
      <c r="B55" s="86"/>
      <c r="C55" s="49" t="s">
        <v>126</v>
      </c>
      <c r="D55" s="50" t="s">
        <v>124</v>
      </c>
      <c r="E55" s="51">
        <f>+IF(Cooling_energy_type=1,Energy_conversion_factor_gas,IF(Cooling_energy_type=2,Energy_conversion_factor_electricity,IF(Cooling_energy_type=3,Input_energy_conversion_factor_cooling," ")))*Q_genC</f>
        <v>0</v>
      </c>
      <c r="F55" s="109"/>
      <c r="G55" s="109"/>
      <c r="H55" s="109"/>
      <c r="I55" s="109"/>
      <c r="J55" s="109"/>
      <c r="K55" s="109"/>
      <c r="L55" s="109"/>
      <c r="M55" s="109"/>
      <c r="N55" s="109"/>
      <c r="O55" s="109"/>
      <c r="P55" s="109"/>
      <c r="Q55" s="91"/>
    </row>
    <row r="56" spans="2:17" s="92" customFormat="1" ht="13.5" thickBot="1">
      <c r="B56" s="125"/>
      <c r="C56" s="126"/>
      <c r="D56" s="126"/>
      <c r="E56" s="127"/>
      <c r="F56" s="127"/>
      <c r="G56" s="127"/>
      <c r="H56" s="127"/>
      <c r="I56" s="127"/>
      <c r="J56" s="127"/>
      <c r="K56" s="127"/>
      <c r="L56" s="127"/>
      <c r="M56" s="127"/>
      <c r="N56" s="127"/>
      <c r="O56" s="127"/>
      <c r="P56" s="127"/>
      <c r="Q56" s="128"/>
    </row>
    <row r="57" spans="1:17" s="92" customFormat="1" ht="14.25" thickBot="1" thickTop="1">
      <c r="A57" s="28"/>
      <c r="B57" s="126"/>
      <c r="C57" s="126"/>
      <c r="D57" s="126"/>
      <c r="E57" s="127"/>
      <c r="F57" s="127"/>
      <c r="G57" s="127"/>
      <c r="H57" s="127"/>
      <c r="I57" s="127"/>
      <c r="J57" s="127"/>
      <c r="K57" s="127"/>
      <c r="L57" s="127"/>
      <c r="M57" s="127"/>
      <c r="N57" s="127"/>
      <c r="O57" s="127"/>
      <c r="P57" s="127"/>
      <c r="Q57" s="189"/>
    </row>
    <row r="58" spans="2:17" s="92" customFormat="1" ht="15" thickTop="1">
      <c r="B58" s="45" t="s">
        <v>195</v>
      </c>
      <c r="C58" s="28"/>
      <c r="D58" s="28"/>
      <c r="E58" s="109"/>
      <c r="F58" s="109"/>
      <c r="G58" s="109"/>
      <c r="H58" s="109"/>
      <c r="I58" s="109"/>
      <c r="J58" s="109"/>
      <c r="K58" s="109"/>
      <c r="L58" s="109"/>
      <c r="M58" s="109"/>
      <c r="N58" s="109"/>
      <c r="O58" s="109"/>
      <c r="P58" s="109"/>
      <c r="Q58" s="91"/>
    </row>
    <row r="59" spans="2:17" s="92" customFormat="1" ht="13.5" thickBot="1">
      <c r="B59" s="86"/>
      <c r="C59" s="28"/>
      <c r="D59" s="28"/>
      <c r="E59" s="109"/>
      <c r="F59" s="109"/>
      <c r="G59" s="109"/>
      <c r="H59" s="109"/>
      <c r="I59" s="109"/>
      <c r="J59" s="109"/>
      <c r="K59" s="109"/>
      <c r="L59" s="109"/>
      <c r="M59" s="109"/>
      <c r="N59" s="109"/>
      <c r="O59" s="109"/>
      <c r="P59" s="109"/>
      <c r="Q59" s="91"/>
    </row>
    <row r="60" spans="2:17" s="92" customFormat="1" ht="12.75">
      <c r="B60" s="86"/>
      <c r="C60" s="181" t="s">
        <v>189</v>
      </c>
      <c r="D60" s="182"/>
      <c r="E60" s="183"/>
      <c r="F60" s="183"/>
      <c r="G60" s="183"/>
      <c r="H60" s="183"/>
      <c r="I60" s="183"/>
      <c r="J60" s="183"/>
      <c r="K60" s="183"/>
      <c r="L60" s="183"/>
      <c r="M60" s="183"/>
      <c r="N60" s="183"/>
      <c r="O60" s="183"/>
      <c r="P60" s="184"/>
      <c r="Q60" s="91"/>
    </row>
    <row r="61" spans="2:17" s="92" customFormat="1" ht="15.75">
      <c r="B61" s="86"/>
      <c r="C61" s="46" t="s">
        <v>190</v>
      </c>
      <c r="D61" s="28" t="s">
        <v>49</v>
      </c>
      <c r="E61" s="109">
        <f>AVERAGE('Climate data'!E$7:E$10)</f>
        <v>22.665583930704905</v>
      </c>
      <c r="F61" s="109">
        <f>AVERAGE('Climate data'!F$7:F$10)</f>
        <v>40.903811177248684</v>
      </c>
      <c r="G61" s="109">
        <f>AVERAGE('Climate data'!G$7:G$10)</f>
        <v>58.305798237753905</v>
      </c>
      <c r="H61" s="109">
        <f>AVERAGE('Climate data'!H$7:H$10)</f>
        <v>79.36930941358025</v>
      </c>
      <c r="I61" s="109">
        <f>AVERAGE('Climate data'!I$7:I$10)</f>
        <v>99.25272550776583</v>
      </c>
      <c r="J61" s="109">
        <f>AVERAGE('Climate data'!J$7:J$10)</f>
        <v>97.91830632716051</v>
      </c>
      <c r="K61" s="109">
        <f>AVERAGE('Climate data'!K$7:K$10)</f>
        <v>98.17484318996412</v>
      </c>
      <c r="L61" s="109">
        <f>AVERAGE('Climate data'!L$7:L$10)</f>
        <v>89.53134333930699</v>
      </c>
      <c r="M61" s="109">
        <f>AVERAGE('Climate data'!M$7:M$10)</f>
        <v>70.20032793209879</v>
      </c>
      <c r="N61" s="109">
        <f>AVERAGE('Climate data'!N$7:N$10)</f>
        <v>51.42202434289128</v>
      </c>
      <c r="O61" s="109">
        <f>AVERAGE('Climate data'!O$7:O$10)</f>
        <v>27.14891975308642</v>
      </c>
      <c r="P61" s="47">
        <f>AVERAGE('Climate data'!P$7:P$10)</f>
        <v>19.146878733572294</v>
      </c>
      <c r="Q61" s="91"/>
    </row>
    <row r="62" spans="2:17" s="92" customFormat="1" ht="15.75">
      <c r="B62" s="86"/>
      <c r="C62" s="46" t="s">
        <v>144</v>
      </c>
      <c r="D62" s="114" t="s">
        <v>0</v>
      </c>
      <c r="E62" s="109">
        <f>CSI_a1-CSI_a2*(Tset_cooling-'Climate data'!E$6)</f>
        <v>192.4805107526882</v>
      </c>
      <c r="F62" s="109">
        <f>CSI_a1-CSI_a2*(Tset_cooling-'Climate data'!F$6)</f>
        <v>196.02157738095238</v>
      </c>
      <c r="G62" s="109">
        <f>CSI_a1-CSI_a2*(Tset_cooling-'Climate data'!G$6)</f>
        <v>208.53561827956992</v>
      </c>
      <c r="H62" s="109">
        <f>CSI_a1-CSI_a2*(Tset_cooling-'Climate data'!H$6)</f>
        <v>223.50416666666666</v>
      </c>
      <c r="I62" s="109">
        <f>CSI_a1-CSI_a2*(Tset_cooling-'Climate data'!I$6)</f>
        <v>243.50672043010758</v>
      </c>
      <c r="J62" s="109">
        <f>CSI_a1-CSI_a2*(Tset_cooling-'Climate data'!J$6)</f>
        <v>257.52013888888894</v>
      </c>
      <c r="K62" s="109">
        <f>CSI_a1-CSI_a2*(Tset_cooling-'Climate data'!K$6)</f>
        <v>266.0181451612903</v>
      </c>
      <c r="L62" s="109">
        <f>CSI_a1-CSI_a2*(Tset_cooling-'Climate data'!L$6)</f>
        <v>265.0006720430108</v>
      </c>
      <c r="M62" s="109">
        <f>CSI_a1-CSI_a2*(Tset_cooling-'Climate data'!M$6)</f>
        <v>251.9909722222222</v>
      </c>
      <c r="N62" s="109">
        <f>CSI_a1-CSI_a2*(Tset_cooling-'Climate data'!N$6)</f>
        <v>232.00604838709677</v>
      </c>
      <c r="O62" s="109">
        <f>CSI_a1-CSI_a2*(Tset_cooling-'Climate data'!O$6)</f>
        <v>210.0138888888889</v>
      </c>
      <c r="P62" s="47">
        <f>CSI_a1-CSI_a2*(Tset_cooling-'Climate data'!P$6)</f>
        <v>196.99798387096774</v>
      </c>
      <c r="Q62" s="91"/>
    </row>
    <row r="63" spans="2:17" s="92" customFormat="1" ht="15.75">
      <c r="B63" s="86"/>
      <c r="C63" s="46" t="s">
        <v>196</v>
      </c>
      <c r="D63" s="114" t="s">
        <v>0</v>
      </c>
      <c r="E63" s="109">
        <f aca="true" t="shared" si="11" ref="E63:P63">CSI_b1-CSI_b2*E$61</f>
        <v>11.546688321385902</v>
      </c>
      <c r="F63" s="109">
        <f t="shared" si="11"/>
        <v>11.181923776455026</v>
      </c>
      <c r="G63" s="109">
        <f t="shared" si="11"/>
        <v>10.833884035244921</v>
      </c>
      <c r="H63" s="109">
        <f t="shared" si="11"/>
        <v>10.412613811728395</v>
      </c>
      <c r="I63" s="109">
        <f t="shared" si="11"/>
        <v>10.014945489844683</v>
      </c>
      <c r="J63" s="109">
        <f t="shared" si="11"/>
        <v>10.04163387345679</v>
      </c>
      <c r="K63" s="109">
        <f t="shared" si="11"/>
        <v>10.036503136200718</v>
      </c>
      <c r="L63" s="109">
        <f t="shared" si="11"/>
        <v>10.20937313321386</v>
      </c>
      <c r="M63" s="109">
        <f t="shared" si="11"/>
        <v>10.595993441358024</v>
      </c>
      <c r="N63" s="109">
        <f t="shared" si="11"/>
        <v>10.971559513142175</v>
      </c>
      <c r="O63" s="109">
        <f t="shared" si="11"/>
        <v>11.457021604938271</v>
      </c>
      <c r="P63" s="47">
        <f t="shared" si="11"/>
        <v>11.617062425328553</v>
      </c>
      <c r="Q63" s="91"/>
    </row>
    <row r="64" spans="2:17" s="92" customFormat="1" ht="15.75">
      <c r="B64" s="86"/>
      <c r="C64" s="46" t="s">
        <v>197</v>
      </c>
      <c r="D64" s="114" t="s">
        <v>0</v>
      </c>
      <c r="E64" s="109">
        <f aca="true" t="shared" si="12" ref="E64:P64">CSI_c</f>
        <v>800</v>
      </c>
      <c r="F64" s="109">
        <f t="shared" si="12"/>
        <v>800</v>
      </c>
      <c r="G64" s="109">
        <f t="shared" si="12"/>
        <v>800</v>
      </c>
      <c r="H64" s="109">
        <f t="shared" si="12"/>
        <v>800</v>
      </c>
      <c r="I64" s="109">
        <f t="shared" si="12"/>
        <v>800</v>
      </c>
      <c r="J64" s="109">
        <f t="shared" si="12"/>
        <v>800</v>
      </c>
      <c r="K64" s="109">
        <f t="shared" si="12"/>
        <v>800</v>
      </c>
      <c r="L64" s="109">
        <f t="shared" si="12"/>
        <v>800</v>
      </c>
      <c r="M64" s="109">
        <f t="shared" si="12"/>
        <v>800</v>
      </c>
      <c r="N64" s="109">
        <f t="shared" si="12"/>
        <v>800</v>
      </c>
      <c r="O64" s="109">
        <f t="shared" si="12"/>
        <v>800</v>
      </c>
      <c r="P64" s="47">
        <f t="shared" si="12"/>
        <v>800</v>
      </c>
      <c r="Q64" s="91"/>
    </row>
    <row r="65" spans="2:17" s="92" customFormat="1" ht="16.5" thickBot="1">
      <c r="B65" s="86"/>
      <c r="C65" s="188" t="s">
        <v>198</v>
      </c>
      <c r="D65" s="50" t="s">
        <v>100</v>
      </c>
      <c r="E65" s="185">
        <f>+MAX(0,-1*(E$62*(Tset_cooling-'Climate data'!E$6)-E$63*E$61-E$64))</f>
        <v>0</v>
      </c>
      <c r="F65" s="185">
        <f>+MAX(0,-1*(F$62*(Tset_cooling-'Climate data'!F$6)-F$63*F$61-F$64))</f>
        <v>0</v>
      </c>
      <c r="G65" s="185">
        <f>+MAX(0,-1*(G$62*(Tset_cooling-'Climate data'!G$6)-G$63*G$61-G$64))</f>
        <v>0</v>
      </c>
      <c r="H65" s="185">
        <f>+MAX(0,-1*(H$62*(Tset_cooling-'Climate data'!H$6)-H$63*H$61-H$64))</f>
        <v>0</v>
      </c>
      <c r="I65" s="185">
        <f>+MAX(0,-1*(I$62*(Tset_cooling-'Climate data'!I$6)-I$63*I$61-I$64))</f>
        <v>0</v>
      </c>
      <c r="J65" s="185">
        <f>+MAX(0,-1*(J$62*(Tset_cooling-'Climate data'!J$6)-J$63*J$61-J$64))</f>
        <v>0</v>
      </c>
      <c r="K65" s="185">
        <f>+MAX(0,-1*(K$62*(Tset_cooling-'Climate data'!K$6)-K$63*K$61-K$64))</f>
        <v>0</v>
      </c>
      <c r="L65" s="185">
        <f>+MAX(0,-1*(L$62*(Tset_cooling-'Climate data'!L$6)-L$63*L$61-L$64))</f>
        <v>0</v>
      </c>
      <c r="M65" s="185">
        <f>+MAX(0,-1*(M$62*(Tset_cooling-'Climate data'!M$6)-M$63*M$61-M$64))</f>
        <v>0</v>
      </c>
      <c r="N65" s="185">
        <f>+MAX(0,-1*(N$62*(Tset_cooling-'Climate data'!N$6)-N$63*N$61-N$64))</f>
        <v>0</v>
      </c>
      <c r="O65" s="185">
        <f>+MAX(0,-1*(O$62*(Tset_cooling-'Climate data'!O$6)-O$63*O$61-O$64))</f>
        <v>0</v>
      </c>
      <c r="P65" s="51">
        <f>+MAX(0,-1*(P$62*(Tset_cooling-'Climate data'!P$6)-P$63*P$61-P$64))</f>
        <v>0</v>
      </c>
      <c r="Q65" s="91"/>
    </row>
    <row r="66" spans="2:17" s="92" customFormat="1" ht="13.5" thickBot="1">
      <c r="B66" s="86"/>
      <c r="C66" s="186"/>
      <c r="D66" s="28"/>
      <c r="E66" s="109"/>
      <c r="F66" s="109"/>
      <c r="G66" s="109"/>
      <c r="H66" s="109"/>
      <c r="I66" s="109"/>
      <c r="J66" s="109"/>
      <c r="K66" s="109"/>
      <c r="L66" s="109"/>
      <c r="M66" s="109"/>
      <c r="N66" s="109"/>
      <c r="O66" s="109"/>
      <c r="P66" s="109"/>
      <c r="Q66" s="91"/>
    </row>
    <row r="67" spans="2:17" s="92" customFormat="1" ht="14.25">
      <c r="B67" s="86"/>
      <c r="C67" s="187" t="s">
        <v>202</v>
      </c>
      <c r="D67" s="183"/>
      <c r="E67" s="184"/>
      <c r="G67" s="109"/>
      <c r="H67" s="109"/>
      <c r="I67" s="109"/>
      <c r="J67" s="109"/>
      <c r="K67" s="109"/>
      <c r="L67" s="109"/>
      <c r="M67" s="109"/>
      <c r="N67" s="109"/>
      <c r="O67" s="109"/>
      <c r="P67" s="109"/>
      <c r="Q67" s="91"/>
    </row>
    <row r="68" spans="2:17" s="92" customFormat="1" ht="16.5" thickBot="1">
      <c r="B68" s="86"/>
      <c r="C68" s="188" t="s">
        <v>198</v>
      </c>
      <c r="D68" s="185" t="s">
        <v>100</v>
      </c>
      <c r="E68" s="51">
        <f>SUM(E65:P65)</f>
        <v>0</v>
      </c>
      <c r="G68" s="109"/>
      <c r="H68" s="109"/>
      <c r="I68" s="109"/>
      <c r="J68" s="109"/>
      <c r="K68" s="109"/>
      <c r="L68" s="109"/>
      <c r="M68" s="109"/>
      <c r="N68" s="109"/>
      <c r="O68" s="109"/>
      <c r="P68" s="109"/>
      <c r="Q68" s="91"/>
    </row>
    <row r="69" spans="2:17" s="92" customFormat="1" ht="13.5" thickBot="1">
      <c r="B69" s="125"/>
      <c r="C69" s="126"/>
      <c r="D69" s="126"/>
      <c r="E69" s="127"/>
      <c r="F69" s="127"/>
      <c r="G69" s="127"/>
      <c r="H69" s="127"/>
      <c r="I69" s="127"/>
      <c r="J69" s="127"/>
      <c r="K69" s="127"/>
      <c r="L69" s="127"/>
      <c r="M69" s="127"/>
      <c r="N69" s="127"/>
      <c r="O69" s="127"/>
      <c r="P69" s="127"/>
      <c r="Q69" s="128"/>
    </row>
    <row r="70" spans="5:17" s="92" customFormat="1" ht="13.5" thickTop="1">
      <c r="E70" s="129"/>
      <c r="Q70" s="129"/>
    </row>
    <row r="71" spans="5:17" ht="12.75">
      <c r="E71" s="71"/>
      <c r="Q71" s="71"/>
    </row>
  </sheetData>
  <sheetProtection sheet="1" objects="1" scenarios="1"/>
  <mergeCells count="1">
    <mergeCell ref="B3:D3"/>
  </mergeCells>
  <hyperlinks>
    <hyperlink ref="B3" r:id="rId1" tooltip="Download report from www.epa-nr.org" display="Click here to download the report from www.epa-nr.org"/>
  </hyperlinks>
  <printOptions/>
  <pageMargins left="0.75" right="0.75" top="1" bottom="1" header="0.5" footer="0.5"/>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sheetPr codeName="Sheet8"/>
  <dimension ref="B2:R74"/>
  <sheetViews>
    <sheetView workbookViewId="0" topLeftCell="A1">
      <selection activeCell="A1" sqref="A1"/>
    </sheetView>
  </sheetViews>
  <sheetFormatPr defaultColWidth="9.140625" defaultRowHeight="12.75"/>
  <cols>
    <col min="1" max="2" width="3.28125" style="3" customWidth="1"/>
    <col min="3" max="3" width="25.7109375" style="3" customWidth="1"/>
    <col min="4" max="4" width="10.7109375" style="3" customWidth="1"/>
    <col min="5" max="5" width="9.7109375" style="3" customWidth="1"/>
    <col min="6" max="6" width="3.28125" style="3" customWidth="1"/>
    <col min="7" max="16384" width="9.140625" style="3" customWidth="1"/>
  </cols>
  <sheetData>
    <row r="1" ht="12.75"/>
    <row r="2" ht="12.75">
      <c r="B2" s="26" t="s">
        <v>228</v>
      </c>
    </row>
    <row r="3" spans="2:12" ht="12.75">
      <c r="B3" s="230" t="s">
        <v>244</v>
      </c>
      <c r="C3" s="231"/>
      <c r="D3" s="231"/>
      <c r="L3" s="130"/>
    </row>
    <row r="4" ht="12.75"/>
    <row r="5" ht="12.75">
      <c r="B5" s="3" t="s">
        <v>252</v>
      </c>
    </row>
    <row r="6" ht="12.75"/>
    <row r="7" spans="3:18" ht="13.5" thickBot="1">
      <c r="C7" s="37"/>
      <c r="D7" s="37"/>
      <c r="H7" s="37"/>
      <c r="I7" s="37"/>
      <c r="J7" s="37"/>
      <c r="K7" s="37"/>
      <c r="L7" s="37"/>
      <c r="M7" s="37"/>
      <c r="N7" s="37"/>
      <c r="O7" s="37"/>
      <c r="P7" s="37"/>
      <c r="Q7" s="37"/>
      <c r="R7" s="37"/>
    </row>
    <row r="8" spans="2:16" s="37" customFormat="1" ht="16.5" thickTop="1">
      <c r="B8" s="38" t="s">
        <v>154</v>
      </c>
      <c r="C8" s="39"/>
      <c r="D8" s="40"/>
      <c r="E8" s="40"/>
      <c r="F8" s="77"/>
      <c r="G8" s="53"/>
      <c r="H8" s="53"/>
      <c r="I8" s="53"/>
      <c r="J8" s="53"/>
      <c r="K8" s="53"/>
      <c r="L8" s="53"/>
      <c r="M8" s="53"/>
      <c r="N8" s="53"/>
      <c r="O8" s="53"/>
      <c r="P8" s="53"/>
    </row>
    <row r="9" spans="2:16" s="37" customFormat="1" ht="13.5" thickBot="1">
      <c r="B9" s="42"/>
      <c r="C9" s="43"/>
      <c r="F9" s="52"/>
      <c r="G9" s="53"/>
      <c r="H9" s="53"/>
      <c r="I9" s="53"/>
      <c r="J9" s="53"/>
      <c r="K9" s="53"/>
      <c r="L9" s="53"/>
      <c r="M9" s="53"/>
      <c r="N9" s="53"/>
      <c r="O9" s="53"/>
      <c r="P9" s="53"/>
    </row>
    <row r="10" spans="2:16" s="37" customFormat="1" ht="12.75">
      <c r="B10" s="42"/>
      <c r="C10" s="236" t="s">
        <v>155</v>
      </c>
      <c r="D10" s="237"/>
      <c r="E10" s="238"/>
      <c r="F10" s="52"/>
      <c r="G10" s="53"/>
      <c r="H10" s="53"/>
      <c r="I10" s="53"/>
      <c r="J10" s="53"/>
      <c r="K10" s="53"/>
      <c r="L10" s="53"/>
      <c r="M10" s="53"/>
      <c r="N10" s="53"/>
      <c r="O10" s="53"/>
      <c r="P10" s="53"/>
    </row>
    <row r="11" spans="2:16" s="37" customFormat="1" ht="15.75">
      <c r="B11" s="42"/>
      <c r="C11" s="46" t="s">
        <v>149</v>
      </c>
      <c r="D11" s="37" t="s">
        <v>1</v>
      </c>
      <c r="E11" s="78">
        <f>+DHW_need*Total_usable_area*(1-(Reduction_DHW_need/100))</f>
        <v>8798.519999999999</v>
      </c>
      <c r="F11" s="52"/>
      <c r="G11" s="53"/>
      <c r="H11" s="53"/>
      <c r="I11" s="53"/>
      <c r="J11" s="53"/>
      <c r="K11" s="53"/>
      <c r="L11" s="53"/>
      <c r="M11" s="53"/>
      <c r="N11" s="53"/>
      <c r="O11" s="53"/>
      <c r="P11" s="53"/>
    </row>
    <row r="12" spans="2:17" s="37" customFormat="1" ht="15.75">
      <c r="B12" s="42"/>
      <c r="C12" s="46" t="s">
        <v>150</v>
      </c>
      <c r="D12" s="37" t="s">
        <v>1</v>
      </c>
      <c r="E12" s="78">
        <f>+Q_demDHW/DHW_system_efficiency</f>
        <v>17597.039999999997</v>
      </c>
      <c r="F12" s="52"/>
      <c r="G12" s="53"/>
      <c r="H12" s="53"/>
      <c r="I12" s="53"/>
      <c r="J12" s="53"/>
      <c r="K12" s="53"/>
      <c r="L12" s="53"/>
      <c r="M12" s="53"/>
      <c r="N12" s="53"/>
      <c r="O12" s="53"/>
      <c r="P12" s="53"/>
      <c r="Q12" s="58"/>
    </row>
    <row r="13" spans="2:17" s="37" customFormat="1" ht="16.5" thickBot="1">
      <c r="B13" s="42"/>
      <c r="C13" s="49" t="s">
        <v>151</v>
      </c>
      <c r="D13" s="79" t="s">
        <v>124</v>
      </c>
      <c r="E13" s="80">
        <f>+IF(DHW_energy_type=1,Energy_conversion_factor_gas,IF(DHW_energy_type=2,Energy_conversion_factor_electricity,IF(DHW_energy_type=3,Input_energy_conversion_factor_DHW," ")))*Q_genDHW</f>
        <v>17597.039999999997</v>
      </c>
      <c r="F13" s="52"/>
      <c r="G13" s="53"/>
      <c r="H13" s="53"/>
      <c r="I13" s="53"/>
      <c r="J13" s="53"/>
      <c r="K13" s="53"/>
      <c r="L13" s="53"/>
      <c r="M13" s="53"/>
      <c r="N13" s="53"/>
      <c r="O13" s="53"/>
      <c r="P13" s="53"/>
      <c r="Q13" s="58"/>
    </row>
    <row r="14" spans="2:17" s="37" customFormat="1" ht="13.5" thickBot="1">
      <c r="B14" s="54"/>
      <c r="C14" s="55"/>
      <c r="D14" s="55"/>
      <c r="E14" s="81"/>
      <c r="F14" s="56"/>
      <c r="G14" s="53"/>
      <c r="H14" s="53"/>
      <c r="I14" s="53"/>
      <c r="J14" s="53"/>
      <c r="K14" s="53"/>
      <c r="L14" s="53"/>
      <c r="M14" s="53"/>
      <c r="N14" s="53"/>
      <c r="O14" s="53"/>
      <c r="P14" s="53"/>
      <c r="Q14" s="58"/>
    </row>
    <row r="15" spans="5:17" s="37" customFormat="1" ht="13.5" thickTop="1">
      <c r="E15" s="57"/>
      <c r="F15" s="53"/>
      <c r="G15" s="53"/>
      <c r="H15" s="53"/>
      <c r="I15" s="53"/>
      <c r="J15" s="53"/>
      <c r="K15" s="53"/>
      <c r="L15" s="53"/>
      <c r="M15" s="53"/>
      <c r="N15" s="53"/>
      <c r="O15" s="53"/>
      <c r="P15" s="53"/>
      <c r="Q15" s="58"/>
    </row>
    <row r="16" s="37" customFormat="1" ht="12.75"/>
    <row r="17" s="37" customFormat="1" ht="12.75"/>
    <row r="18" spans="3:17" s="37" customFormat="1" ht="12.75">
      <c r="C18" s="58"/>
      <c r="D18" s="58"/>
      <c r="E18" s="59"/>
      <c r="F18" s="59"/>
      <c r="G18" s="59"/>
      <c r="H18" s="59"/>
      <c r="I18" s="59"/>
      <c r="J18" s="59"/>
      <c r="K18" s="59"/>
      <c r="L18" s="59"/>
      <c r="M18" s="59"/>
      <c r="N18" s="59"/>
      <c r="O18" s="59"/>
      <c r="P18" s="59"/>
      <c r="Q18" s="58"/>
    </row>
    <row r="19" spans="3:17" s="37" customFormat="1" ht="12.75">
      <c r="C19" s="28"/>
      <c r="E19" s="60"/>
      <c r="F19" s="60"/>
      <c r="G19" s="60"/>
      <c r="H19" s="60"/>
      <c r="I19" s="60"/>
      <c r="J19" s="60"/>
      <c r="K19" s="60"/>
      <c r="L19" s="60"/>
      <c r="M19" s="60"/>
      <c r="N19" s="60"/>
      <c r="O19" s="60"/>
      <c r="P19" s="60"/>
      <c r="Q19" s="58"/>
    </row>
    <row r="20" spans="3:17" s="37" customFormat="1" ht="12.75">
      <c r="C20" s="28"/>
      <c r="E20" s="60"/>
      <c r="F20" s="60"/>
      <c r="G20" s="60"/>
      <c r="H20" s="60"/>
      <c r="I20" s="60"/>
      <c r="J20" s="60"/>
      <c r="K20" s="60"/>
      <c r="L20" s="60"/>
      <c r="M20" s="60"/>
      <c r="N20" s="60"/>
      <c r="O20" s="60"/>
      <c r="P20" s="60"/>
      <c r="Q20" s="58"/>
    </row>
    <row r="21" spans="3:17" s="37" customFormat="1" ht="12.75">
      <c r="C21" s="28"/>
      <c r="E21" s="60"/>
      <c r="F21" s="60"/>
      <c r="G21" s="60"/>
      <c r="H21" s="60"/>
      <c r="I21" s="60"/>
      <c r="J21" s="60"/>
      <c r="K21" s="60"/>
      <c r="L21" s="60"/>
      <c r="M21" s="60"/>
      <c r="N21" s="60"/>
      <c r="O21" s="60"/>
      <c r="P21" s="60"/>
      <c r="Q21" s="58"/>
    </row>
    <row r="22" spans="3:17" s="37" customFormat="1" ht="12.75">
      <c r="C22" s="28"/>
      <c r="E22" s="60"/>
      <c r="F22" s="60"/>
      <c r="G22" s="60"/>
      <c r="H22" s="60"/>
      <c r="I22" s="60"/>
      <c r="J22" s="60"/>
      <c r="K22" s="60"/>
      <c r="L22" s="60"/>
      <c r="M22" s="60"/>
      <c r="N22" s="60"/>
      <c r="O22" s="60"/>
      <c r="P22" s="60"/>
      <c r="Q22" s="58"/>
    </row>
    <row r="23" spans="3:17" s="37" customFormat="1" ht="12.75">
      <c r="C23" s="58"/>
      <c r="D23" s="58"/>
      <c r="E23" s="61"/>
      <c r="F23" s="61"/>
      <c r="G23" s="61"/>
      <c r="H23" s="61"/>
      <c r="I23" s="61"/>
      <c r="J23" s="61"/>
      <c r="K23" s="61"/>
      <c r="L23" s="61"/>
      <c r="M23" s="61"/>
      <c r="N23" s="61"/>
      <c r="O23" s="61"/>
      <c r="P23" s="61"/>
      <c r="Q23" s="58"/>
    </row>
    <row r="24" spans="3:17" s="37" customFormat="1" ht="12.75">
      <c r="C24" s="58"/>
      <c r="D24" s="58"/>
      <c r="E24" s="61"/>
      <c r="F24" s="61"/>
      <c r="G24" s="61"/>
      <c r="H24" s="61"/>
      <c r="I24" s="61"/>
      <c r="J24" s="61"/>
      <c r="K24" s="61"/>
      <c r="L24" s="61"/>
      <c r="M24" s="61"/>
      <c r="N24" s="61"/>
      <c r="O24" s="61"/>
      <c r="P24" s="61"/>
      <c r="Q24" s="58"/>
    </row>
    <row r="25" spans="3:17" s="37" customFormat="1" ht="12.75">
      <c r="C25" s="58"/>
      <c r="D25" s="58"/>
      <c r="E25" s="61"/>
      <c r="F25" s="61"/>
      <c r="G25" s="61"/>
      <c r="H25" s="61"/>
      <c r="I25" s="61"/>
      <c r="J25" s="61"/>
      <c r="K25" s="61"/>
      <c r="L25" s="61"/>
      <c r="M25" s="61"/>
      <c r="N25" s="61"/>
      <c r="O25" s="61"/>
      <c r="P25" s="61"/>
      <c r="Q25" s="58"/>
    </row>
    <row r="26" spans="3:17" s="37" customFormat="1" ht="12.75">
      <c r="C26" s="58"/>
      <c r="D26" s="58"/>
      <c r="E26" s="61"/>
      <c r="F26" s="61"/>
      <c r="G26" s="61"/>
      <c r="H26" s="61"/>
      <c r="I26" s="61"/>
      <c r="J26" s="61"/>
      <c r="K26" s="61"/>
      <c r="L26" s="61"/>
      <c r="M26" s="61"/>
      <c r="N26" s="61"/>
      <c r="O26" s="61"/>
      <c r="P26" s="61"/>
      <c r="Q26" s="58"/>
    </row>
    <row r="27" spans="4:17" s="37" customFormat="1" ht="12.75">
      <c r="D27" s="62"/>
      <c r="E27" s="53"/>
      <c r="F27" s="53"/>
      <c r="G27" s="53"/>
      <c r="H27" s="53"/>
      <c r="I27" s="53"/>
      <c r="J27" s="53"/>
      <c r="K27" s="53"/>
      <c r="L27" s="53"/>
      <c r="M27" s="53"/>
      <c r="N27" s="53"/>
      <c r="O27" s="53"/>
      <c r="P27" s="53"/>
      <c r="Q27" s="58"/>
    </row>
    <row r="28" spans="4:17" s="37" customFormat="1" ht="12.75">
      <c r="D28" s="62"/>
      <c r="E28" s="57"/>
      <c r="F28" s="53"/>
      <c r="G28" s="53"/>
      <c r="H28" s="53"/>
      <c r="I28" s="53"/>
      <c r="J28" s="53"/>
      <c r="K28" s="53"/>
      <c r="L28" s="53"/>
      <c r="M28" s="53"/>
      <c r="N28" s="53"/>
      <c r="O28" s="53"/>
      <c r="P28" s="53"/>
      <c r="Q28" s="58"/>
    </row>
    <row r="29" s="37" customFormat="1" ht="12.75"/>
    <row r="30" spans="5:17" s="37" customFormat="1" ht="12.75">
      <c r="E30" s="61"/>
      <c r="F30" s="61"/>
      <c r="G30" s="61"/>
      <c r="H30" s="61"/>
      <c r="I30" s="61"/>
      <c r="J30" s="61"/>
      <c r="K30" s="61"/>
      <c r="L30" s="61"/>
      <c r="M30" s="61"/>
      <c r="N30" s="61"/>
      <c r="O30" s="61"/>
      <c r="P30" s="61"/>
      <c r="Q30" s="58"/>
    </row>
    <row r="31" spans="5:17" s="37" customFormat="1" ht="12.75">
      <c r="E31" s="61"/>
      <c r="F31" s="61"/>
      <c r="G31" s="61"/>
      <c r="H31" s="61"/>
      <c r="I31" s="61"/>
      <c r="J31" s="61"/>
      <c r="K31" s="61"/>
      <c r="L31" s="61"/>
      <c r="M31" s="61"/>
      <c r="N31" s="61"/>
      <c r="O31" s="61"/>
      <c r="P31" s="61"/>
      <c r="Q31" s="58"/>
    </row>
    <row r="32" spans="5:17" s="37" customFormat="1" ht="12.75">
      <c r="E32" s="61"/>
      <c r="F32" s="61"/>
      <c r="G32" s="61"/>
      <c r="H32" s="61"/>
      <c r="I32" s="61"/>
      <c r="J32" s="61"/>
      <c r="K32" s="61"/>
      <c r="L32" s="61"/>
      <c r="M32" s="61"/>
      <c r="N32" s="61"/>
      <c r="O32" s="61"/>
      <c r="P32" s="61"/>
      <c r="Q32" s="58"/>
    </row>
    <row r="33" spans="5:17" s="37" customFormat="1" ht="12.75">
      <c r="E33" s="61"/>
      <c r="F33" s="61"/>
      <c r="G33" s="61"/>
      <c r="H33" s="61"/>
      <c r="I33" s="61"/>
      <c r="J33" s="61"/>
      <c r="K33" s="61"/>
      <c r="L33" s="61"/>
      <c r="M33" s="61"/>
      <c r="N33" s="61"/>
      <c r="O33" s="61"/>
      <c r="P33" s="61"/>
      <c r="Q33" s="58"/>
    </row>
    <row r="34" spans="5:17" s="37" customFormat="1" ht="12.75">
      <c r="E34" s="61"/>
      <c r="F34" s="61"/>
      <c r="G34" s="61"/>
      <c r="H34" s="61"/>
      <c r="I34" s="61"/>
      <c r="J34" s="61"/>
      <c r="K34" s="61"/>
      <c r="L34" s="61"/>
      <c r="M34" s="61"/>
      <c r="N34" s="61"/>
      <c r="O34" s="61"/>
      <c r="P34" s="61"/>
      <c r="Q34" s="58"/>
    </row>
    <row r="35" spans="6:17" s="37" customFormat="1" ht="12.75">
      <c r="F35" s="63"/>
      <c r="G35" s="63"/>
      <c r="H35" s="63"/>
      <c r="I35" s="63"/>
      <c r="J35" s="63"/>
      <c r="K35" s="63"/>
      <c r="L35" s="63"/>
      <c r="M35" s="63"/>
      <c r="N35" s="63"/>
      <c r="O35" s="63"/>
      <c r="P35" s="63"/>
      <c r="Q35" s="58"/>
    </row>
    <row r="36" spans="5:17" s="37" customFormat="1" ht="12.75">
      <c r="E36" s="61"/>
      <c r="F36" s="61"/>
      <c r="G36" s="61"/>
      <c r="H36" s="61"/>
      <c r="I36" s="61"/>
      <c r="J36" s="61"/>
      <c r="K36" s="61"/>
      <c r="L36" s="61"/>
      <c r="M36" s="61"/>
      <c r="N36" s="61"/>
      <c r="O36" s="61"/>
      <c r="P36" s="61"/>
      <c r="Q36" s="58"/>
    </row>
    <row r="37" spans="5:17" s="37" customFormat="1" ht="12.75">
      <c r="E37" s="61"/>
      <c r="F37" s="61"/>
      <c r="G37" s="61"/>
      <c r="H37" s="61"/>
      <c r="I37" s="61"/>
      <c r="J37" s="61"/>
      <c r="K37" s="61"/>
      <c r="L37" s="61"/>
      <c r="M37" s="61"/>
      <c r="N37" s="61"/>
      <c r="O37" s="61"/>
      <c r="P37" s="61"/>
      <c r="Q37" s="58"/>
    </row>
    <row r="38" spans="5:17" s="37" customFormat="1" ht="12.75">
      <c r="E38" s="61"/>
      <c r="F38" s="61"/>
      <c r="G38" s="61"/>
      <c r="H38" s="61"/>
      <c r="I38" s="61"/>
      <c r="J38" s="61"/>
      <c r="K38" s="61"/>
      <c r="L38" s="61"/>
      <c r="M38" s="61"/>
      <c r="N38" s="61"/>
      <c r="O38" s="61"/>
      <c r="P38" s="61"/>
      <c r="Q38" s="58"/>
    </row>
    <row r="39" spans="5:17" s="37" customFormat="1" ht="12.75">
      <c r="E39" s="61"/>
      <c r="Q39" s="58"/>
    </row>
    <row r="40" spans="5:17" s="37" customFormat="1" ht="12.75">
      <c r="E40" s="53"/>
      <c r="F40" s="53"/>
      <c r="G40" s="53"/>
      <c r="H40" s="53"/>
      <c r="I40" s="53"/>
      <c r="J40" s="53"/>
      <c r="K40" s="53"/>
      <c r="L40" s="53"/>
      <c r="M40" s="53"/>
      <c r="N40" s="53"/>
      <c r="O40" s="53"/>
      <c r="P40" s="53"/>
      <c r="Q40" s="58"/>
    </row>
    <row r="41" spans="5:17" s="37" customFormat="1" ht="12.75">
      <c r="E41" s="53"/>
      <c r="F41" s="53"/>
      <c r="G41" s="53"/>
      <c r="H41" s="53"/>
      <c r="I41" s="53"/>
      <c r="J41" s="53"/>
      <c r="K41" s="53"/>
      <c r="L41" s="53"/>
      <c r="M41" s="53"/>
      <c r="N41" s="53"/>
      <c r="O41" s="53"/>
      <c r="P41" s="53"/>
      <c r="Q41" s="58"/>
    </row>
    <row r="42" spans="4:17" s="37" customFormat="1" ht="12.75">
      <c r="D42" s="64"/>
      <c r="E42" s="61"/>
      <c r="Q42" s="58"/>
    </row>
    <row r="43" spans="5:17" s="37" customFormat="1" ht="12.75">
      <c r="E43" s="65"/>
      <c r="F43" s="66"/>
      <c r="G43" s="66"/>
      <c r="H43" s="66"/>
      <c r="I43" s="66"/>
      <c r="J43" s="66"/>
      <c r="K43" s="66"/>
      <c r="L43" s="66"/>
      <c r="M43" s="66"/>
      <c r="N43" s="66"/>
      <c r="O43" s="66"/>
      <c r="P43" s="66"/>
      <c r="Q43" s="61"/>
    </row>
    <row r="44" spans="5:17" s="37" customFormat="1" ht="12.75">
      <c r="E44" s="61"/>
      <c r="F44" s="61"/>
      <c r="G44" s="61"/>
      <c r="H44" s="61"/>
      <c r="I44" s="61"/>
      <c r="J44" s="61"/>
      <c r="K44" s="61"/>
      <c r="L44" s="61"/>
      <c r="M44" s="61"/>
      <c r="N44" s="61"/>
      <c r="O44" s="61"/>
      <c r="P44" s="61"/>
      <c r="Q44" s="61"/>
    </row>
    <row r="45" spans="5:17" s="37" customFormat="1" ht="12.75">
      <c r="E45" s="61"/>
      <c r="F45" s="61"/>
      <c r="G45" s="61"/>
      <c r="H45" s="61"/>
      <c r="I45" s="61"/>
      <c r="J45" s="61"/>
      <c r="K45" s="61"/>
      <c r="L45" s="61"/>
      <c r="M45" s="61"/>
      <c r="N45" s="61"/>
      <c r="O45" s="61"/>
      <c r="P45" s="61"/>
      <c r="Q45" s="61"/>
    </row>
    <row r="46" spans="5:17" s="37" customFormat="1" ht="12.75">
      <c r="E46" s="61"/>
      <c r="F46" s="61"/>
      <c r="G46" s="61"/>
      <c r="H46" s="61"/>
      <c r="I46" s="61"/>
      <c r="J46" s="61"/>
      <c r="K46" s="61"/>
      <c r="L46" s="61"/>
      <c r="M46" s="61"/>
      <c r="N46" s="61"/>
      <c r="O46" s="61"/>
      <c r="P46" s="61"/>
      <c r="Q46" s="61"/>
    </row>
    <row r="47" spans="5:17" s="37" customFormat="1" ht="12.75">
      <c r="E47" s="61"/>
      <c r="F47" s="61"/>
      <c r="G47" s="61"/>
      <c r="H47" s="61"/>
      <c r="I47" s="61"/>
      <c r="J47" s="61"/>
      <c r="K47" s="61"/>
      <c r="L47" s="61"/>
      <c r="M47" s="61"/>
      <c r="N47" s="61"/>
      <c r="O47" s="61"/>
      <c r="P47" s="61"/>
      <c r="Q47" s="61"/>
    </row>
    <row r="48" spans="5:17" s="37" customFormat="1" ht="12.75">
      <c r="E48" s="61"/>
      <c r="Q48" s="61"/>
    </row>
    <row r="49" spans="5:17" s="37" customFormat="1" ht="12.75">
      <c r="E49" s="67"/>
      <c r="F49" s="68"/>
      <c r="G49" s="68"/>
      <c r="H49" s="68"/>
      <c r="I49" s="68"/>
      <c r="J49" s="68"/>
      <c r="K49" s="68"/>
      <c r="L49" s="68"/>
      <c r="M49" s="68"/>
      <c r="N49" s="68"/>
      <c r="O49" s="68"/>
      <c r="P49" s="68"/>
      <c r="Q49" s="61"/>
    </row>
    <row r="50" spans="5:17" s="37" customFormat="1" ht="12.75">
      <c r="E50" s="69"/>
      <c r="F50" s="53"/>
      <c r="G50" s="53"/>
      <c r="H50" s="53"/>
      <c r="I50" s="53"/>
      <c r="J50" s="53"/>
      <c r="K50" s="53"/>
      <c r="L50" s="53"/>
      <c r="M50" s="53"/>
      <c r="N50" s="53"/>
      <c r="O50" s="53"/>
      <c r="P50" s="53"/>
      <c r="Q50" s="61"/>
    </row>
    <row r="51" spans="4:17" s="37" customFormat="1" ht="12.75">
      <c r="D51" s="64"/>
      <c r="E51" s="69"/>
      <c r="F51" s="53"/>
      <c r="G51" s="53"/>
      <c r="H51" s="53"/>
      <c r="I51" s="53"/>
      <c r="J51" s="53"/>
      <c r="K51" s="53"/>
      <c r="L51" s="53"/>
      <c r="M51" s="53"/>
      <c r="N51" s="53"/>
      <c r="O51" s="53"/>
      <c r="P51" s="53"/>
      <c r="Q51" s="61"/>
    </row>
    <row r="52" spans="5:17" s="37" customFormat="1" ht="12.75">
      <c r="E52" s="61"/>
      <c r="Q52" s="61"/>
    </row>
    <row r="53" spans="4:17" s="37" customFormat="1" ht="12.75">
      <c r="D53" s="64"/>
      <c r="E53" s="53"/>
      <c r="F53" s="53"/>
      <c r="G53" s="53"/>
      <c r="H53" s="53"/>
      <c r="I53" s="53"/>
      <c r="J53" s="53"/>
      <c r="K53" s="53"/>
      <c r="L53" s="53"/>
      <c r="M53" s="53"/>
      <c r="N53" s="53"/>
      <c r="O53" s="53"/>
      <c r="P53" s="53"/>
      <c r="Q53" s="61"/>
    </row>
    <row r="54" spans="4:17" s="37" customFormat="1" ht="12.75">
      <c r="D54" s="64"/>
      <c r="E54" s="70"/>
      <c r="F54" s="70"/>
      <c r="G54" s="70"/>
      <c r="H54" s="70"/>
      <c r="I54" s="70"/>
      <c r="J54" s="70"/>
      <c r="K54" s="70"/>
      <c r="L54" s="70"/>
      <c r="M54" s="70"/>
      <c r="N54" s="70"/>
      <c r="O54" s="70"/>
      <c r="P54" s="70"/>
      <c r="Q54" s="61"/>
    </row>
    <row r="55" spans="5:17" s="37" customFormat="1" ht="12.75">
      <c r="E55" s="61"/>
      <c r="Q55" s="61"/>
    </row>
    <row r="56" spans="5:17" s="37" customFormat="1" ht="12.75">
      <c r="E56" s="61"/>
      <c r="F56" s="61"/>
      <c r="G56" s="61"/>
      <c r="H56" s="61"/>
      <c r="I56" s="61"/>
      <c r="J56" s="61"/>
      <c r="K56" s="61"/>
      <c r="L56" s="61"/>
      <c r="M56" s="61"/>
      <c r="N56" s="61"/>
      <c r="O56" s="61"/>
      <c r="P56" s="61"/>
      <c r="Q56" s="61"/>
    </row>
    <row r="57" spans="5:17" s="37" customFormat="1" ht="12.75">
      <c r="E57" s="61"/>
      <c r="Q57" s="61"/>
    </row>
    <row r="58" spans="5:17" s="37" customFormat="1" ht="12.75">
      <c r="E58" s="61"/>
      <c r="Q58" s="61"/>
    </row>
    <row r="59" spans="5:17" ht="12.75">
      <c r="E59" s="71"/>
      <c r="Q59" s="71"/>
    </row>
    <row r="60" spans="5:17" ht="12.75">
      <c r="E60" s="71"/>
      <c r="Q60" s="71"/>
    </row>
    <row r="61" spans="5:17" ht="12.75">
      <c r="E61" s="71"/>
      <c r="Q61" s="71"/>
    </row>
    <row r="62" spans="5:17" ht="12.75">
      <c r="E62" s="71"/>
      <c r="F62" s="71"/>
      <c r="G62" s="71"/>
      <c r="H62" s="71"/>
      <c r="I62" s="71"/>
      <c r="J62" s="71"/>
      <c r="K62" s="71"/>
      <c r="L62" s="71"/>
      <c r="M62" s="71"/>
      <c r="N62" s="71"/>
      <c r="O62" s="71"/>
      <c r="P62" s="71"/>
      <c r="Q62" s="71"/>
    </row>
    <row r="63" spans="5:17" ht="12.75">
      <c r="E63" s="71"/>
      <c r="F63" s="71"/>
      <c r="G63" s="71"/>
      <c r="H63" s="71"/>
      <c r="I63" s="71"/>
      <c r="J63" s="71"/>
      <c r="K63" s="71"/>
      <c r="L63" s="71"/>
      <c r="M63" s="71"/>
      <c r="N63" s="71"/>
      <c r="O63" s="71"/>
      <c r="P63" s="71"/>
      <c r="Q63" s="71"/>
    </row>
    <row r="64" spans="5:17" ht="12.75">
      <c r="E64" s="71"/>
      <c r="F64" s="71"/>
      <c r="G64" s="71"/>
      <c r="H64" s="71"/>
      <c r="I64" s="71"/>
      <c r="J64" s="71"/>
      <c r="K64" s="71"/>
      <c r="L64" s="71"/>
      <c r="M64" s="71"/>
      <c r="N64" s="71"/>
      <c r="O64" s="71"/>
      <c r="P64" s="71"/>
      <c r="Q64" s="71"/>
    </row>
    <row r="66" spans="5:17" ht="12.75">
      <c r="E66" s="72"/>
      <c r="F66" s="72"/>
      <c r="G66" s="72"/>
      <c r="H66" s="72"/>
      <c r="I66" s="72"/>
      <c r="J66" s="72"/>
      <c r="K66" s="72"/>
      <c r="L66" s="72"/>
      <c r="M66" s="72"/>
      <c r="N66" s="72"/>
      <c r="O66" s="72"/>
      <c r="P66" s="72"/>
      <c r="Q66" s="73"/>
    </row>
    <row r="67" spans="5:17" ht="12.75">
      <c r="E67" s="74"/>
      <c r="F67" s="71"/>
      <c r="G67" s="71"/>
      <c r="H67" s="71"/>
      <c r="I67" s="71"/>
      <c r="J67" s="71"/>
      <c r="K67" s="71"/>
      <c r="L67" s="71"/>
      <c r="M67" s="71"/>
      <c r="N67" s="71"/>
      <c r="O67" s="71"/>
      <c r="P67" s="71"/>
      <c r="Q67" s="72"/>
    </row>
    <row r="68" spans="5:17" ht="12.75">
      <c r="E68" s="75"/>
      <c r="F68" s="75"/>
      <c r="G68" s="75"/>
      <c r="H68" s="75"/>
      <c r="I68" s="75"/>
      <c r="J68" s="75"/>
      <c r="K68" s="75"/>
      <c r="L68" s="75"/>
      <c r="M68" s="75"/>
      <c r="N68" s="75"/>
      <c r="O68" s="75"/>
      <c r="P68" s="75"/>
      <c r="Q68" s="73"/>
    </row>
    <row r="69" spans="5:17" ht="12.75">
      <c r="E69" s="76"/>
      <c r="F69" s="76"/>
      <c r="G69" s="76"/>
      <c r="H69" s="76"/>
      <c r="I69" s="76"/>
      <c r="J69" s="76"/>
      <c r="K69" s="76"/>
      <c r="L69" s="76"/>
      <c r="M69" s="76"/>
      <c r="N69" s="76"/>
      <c r="O69" s="76"/>
      <c r="P69" s="76"/>
      <c r="Q69" s="71"/>
    </row>
    <row r="70" spans="5:17" ht="12.75">
      <c r="E70" s="71"/>
      <c r="F70" s="71"/>
      <c r="G70" s="71"/>
      <c r="H70" s="71"/>
      <c r="I70" s="71"/>
      <c r="J70" s="71"/>
      <c r="K70" s="71"/>
      <c r="L70" s="71"/>
      <c r="M70" s="71"/>
      <c r="N70" s="71"/>
      <c r="O70" s="71"/>
      <c r="P70" s="71"/>
      <c r="Q70" s="71"/>
    </row>
    <row r="71" spans="5:17" ht="12.75">
      <c r="E71" s="72"/>
      <c r="F71" s="72"/>
      <c r="G71" s="72"/>
      <c r="H71" s="72"/>
      <c r="I71" s="72"/>
      <c r="J71" s="72"/>
      <c r="K71" s="72"/>
      <c r="L71" s="72"/>
      <c r="M71" s="72"/>
      <c r="N71" s="72"/>
      <c r="O71" s="72"/>
      <c r="P71" s="72"/>
      <c r="Q71" s="73"/>
    </row>
    <row r="72" spans="5:17" ht="12.75">
      <c r="E72" s="72"/>
      <c r="F72" s="72"/>
      <c r="G72" s="72"/>
      <c r="H72" s="72"/>
      <c r="I72" s="72"/>
      <c r="J72" s="72"/>
      <c r="K72" s="72"/>
      <c r="L72" s="72"/>
      <c r="M72" s="72"/>
      <c r="N72" s="72"/>
      <c r="O72" s="72"/>
      <c r="P72" s="72"/>
      <c r="Q72" s="73"/>
    </row>
    <row r="73" spans="5:17" ht="12.75">
      <c r="E73" s="71"/>
      <c r="F73" s="71"/>
      <c r="G73" s="71"/>
      <c r="H73" s="71"/>
      <c r="I73" s="71"/>
      <c r="J73" s="71"/>
      <c r="K73" s="71"/>
      <c r="L73" s="71"/>
      <c r="M73" s="71"/>
      <c r="N73" s="71"/>
      <c r="O73" s="71"/>
      <c r="P73" s="71"/>
      <c r="Q73" s="71"/>
    </row>
    <row r="74" spans="5:17" ht="12.75">
      <c r="E74" s="71"/>
      <c r="F74" s="71"/>
      <c r="G74" s="71"/>
      <c r="H74" s="71"/>
      <c r="I74" s="71"/>
      <c r="J74" s="71"/>
      <c r="K74" s="71"/>
      <c r="L74" s="71"/>
      <c r="M74" s="71"/>
      <c r="N74" s="71"/>
      <c r="O74" s="71"/>
      <c r="P74" s="71"/>
      <c r="Q74" s="71"/>
    </row>
  </sheetData>
  <sheetProtection sheet="1" objects="1" scenarios="1"/>
  <mergeCells count="2">
    <mergeCell ref="C10:E10"/>
    <mergeCell ref="B3:D3"/>
  </mergeCells>
  <hyperlinks>
    <hyperlink ref="B3" r:id="rId1" tooltip="Download report from www.epa-nr.org" display="Click here to download the report from www.epa-nr.org"/>
  </hyperlinks>
  <printOptions/>
  <pageMargins left="0.75" right="0.75" top="1" bottom="1" header="0.5" footer="0.5"/>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sheetPr codeName="Sheet6"/>
  <dimension ref="B2:R79"/>
  <sheetViews>
    <sheetView workbookViewId="0" topLeftCell="A1">
      <selection activeCell="A1" sqref="A1"/>
    </sheetView>
  </sheetViews>
  <sheetFormatPr defaultColWidth="9.140625" defaultRowHeight="12.75"/>
  <cols>
    <col min="1" max="2" width="3.28125" style="3" customWidth="1"/>
    <col min="3" max="3" width="25.7109375" style="3" customWidth="1"/>
    <col min="4" max="4" width="10.7109375" style="3" customWidth="1"/>
    <col min="5" max="5" width="9.7109375" style="3" customWidth="1"/>
    <col min="6" max="6" width="3.28125" style="3" customWidth="1"/>
    <col min="7" max="16384" width="9.140625" style="3" customWidth="1"/>
  </cols>
  <sheetData>
    <row r="1" ht="12.75"/>
    <row r="2" ht="12.75">
      <c r="B2" s="26" t="s">
        <v>228</v>
      </c>
    </row>
    <row r="3" spans="2:12" ht="12.75">
      <c r="B3" s="230" t="s">
        <v>244</v>
      </c>
      <c r="C3" s="231"/>
      <c r="D3" s="231"/>
      <c r="L3" s="130"/>
    </row>
    <row r="4" ht="12.75"/>
    <row r="5" ht="12.75">
      <c r="B5" s="3" t="s">
        <v>251</v>
      </c>
    </row>
    <row r="6" ht="12.75"/>
    <row r="7" spans="3:18" ht="13.5" thickBot="1">
      <c r="C7" s="37"/>
      <c r="D7" s="37"/>
      <c r="H7" s="37"/>
      <c r="I7" s="37"/>
      <c r="J7" s="37"/>
      <c r="K7" s="37"/>
      <c r="L7" s="37"/>
      <c r="M7" s="37"/>
      <c r="N7" s="37"/>
      <c r="O7" s="37"/>
      <c r="P7" s="37"/>
      <c r="Q7" s="37"/>
      <c r="R7" s="37"/>
    </row>
    <row r="8" spans="2:18" ht="16.5" thickTop="1">
      <c r="B8" s="38" t="s">
        <v>156</v>
      </c>
      <c r="C8" s="39"/>
      <c r="D8" s="40"/>
      <c r="E8" s="40"/>
      <c r="F8" s="41"/>
      <c r="H8" s="37"/>
      <c r="I8" s="37"/>
      <c r="J8" s="37"/>
      <c r="K8" s="37"/>
      <c r="L8" s="37"/>
      <c r="M8" s="37"/>
      <c r="N8" s="37"/>
      <c r="O8" s="37"/>
      <c r="P8" s="37"/>
      <c r="Q8" s="37"/>
      <c r="R8" s="37"/>
    </row>
    <row r="9" spans="2:18" ht="13.5" thickBot="1">
      <c r="B9" s="42"/>
      <c r="C9" s="43"/>
      <c r="D9" s="37"/>
      <c r="E9" s="37"/>
      <c r="F9" s="44"/>
      <c r="H9" s="37"/>
      <c r="I9" s="37"/>
      <c r="J9" s="37"/>
      <c r="K9" s="37"/>
      <c r="L9" s="37"/>
      <c r="M9" s="37"/>
      <c r="N9" s="37"/>
      <c r="O9" s="37"/>
      <c r="P9" s="37"/>
      <c r="Q9" s="37"/>
      <c r="R9" s="37"/>
    </row>
    <row r="10" spans="2:18" ht="12.75">
      <c r="B10" s="42"/>
      <c r="C10" s="236" t="s">
        <v>157</v>
      </c>
      <c r="D10" s="237"/>
      <c r="E10" s="238"/>
      <c r="F10" s="44"/>
      <c r="H10" s="37"/>
      <c r="I10" s="37"/>
      <c r="J10" s="37"/>
      <c r="K10" s="37"/>
      <c r="L10" s="37"/>
      <c r="M10" s="37"/>
      <c r="N10" s="37"/>
      <c r="O10" s="37"/>
      <c r="P10" s="37"/>
      <c r="Q10" s="37"/>
      <c r="R10" s="37"/>
    </row>
    <row r="11" spans="2:6" s="43" customFormat="1" ht="15.75">
      <c r="B11" s="45"/>
      <c r="C11" s="46" t="s">
        <v>160</v>
      </c>
      <c r="D11" s="28" t="s">
        <v>1</v>
      </c>
      <c r="E11" s="47">
        <f>3.6*Total_usable_area*(IF(Ventilation_type=1,Energy_use_fans_NV,IF(Ventilation_type=2,Energy_use_fans_ME,Energy_use_fans_MV)))</f>
        <v>1630.3139999999999</v>
      </c>
      <c r="F11" s="48"/>
    </row>
    <row r="12" spans="2:16" s="37" customFormat="1" ht="16.5" thickBot="1">
      <c r="B12" s="42"/>
      <c r="C12" s="49" t="s">
        <v>158</v>
      </c>
      <c r="D12" s="50" t="s">
        <v>124</v>
      </c>
      <c r="E12" s="51">
        <f>Energy_conversion_factor_electricity*Q_Fans</f>
        <v>4173.60384</v>
      </c>
      <c r="F12" s="52"/>
      <c r="G12" s="53"/>
      <c r="H12" s="53"/>
      <c r="I12" s="53"/>
      <c r="J12" s="53"/>
      <c r="K12" s="53"/>
      <c r="L12" s="53"/>
      <c r="M12" s="53"/>
      <c r="N12" s="53"/>
      <c r="O12" s="53"/>
      <c r="P12" s="53"/>
    </row>
    <row r="13" spans="2:16" s="37" customFormat="1" ht="13.5" thickBot="1">
      <c r="B13" s="54"/>
      <c r="C13" s="55"/>
      <c r="D13" s="55"/>
      <c r="E13" s="55"/>
      <c r="F13" s="56"/>
      <c r="G13" s="53"/>
      <c r="H13" s="53"/>
      <c r="I13" s="53"/>
      <c r="J13" s="53"/>
      <c r="K13" s="53"/>
      <c r="L13" s="53"/>
      <c r="M13" s="53"/>
      <c r="N13" s="53"/>
      <c r="O13" s="53"/>
      <c r="P13" s="53"/>
    </row>
    <row r="14" spans="6:16" s="37" customFormat="1" ht="13.5" thickTop="1">
      <c r="F14" s="53"/>
      <c r="G14" s="53"/>
      <c r="H14" s="53"/>
      <c r="I14" s="53"/>
      <c r="J14" s="53"/>
      <c r="K14" s="53"/>
      <c r="L14" s="53"/>
      <c r="M14" s="53"/>
      <c r="N14" s="53"/>
      <c r="O14" s="53"/>
      <c r="P14" s="53"/>
    </row>
    <row r="15" spans="6:16" s="37" customFormat="1" ht="12.75">
      <c r="F15" s="53"/>
      <c r="G15" s="53"/>
      <c r="H15" s="53"/>
      <c r="I15" s="53"/>
      <c r="J15" s="53"/>
      <c r="K15" s="53"/>
      <c r="L15" s="53"/>
      <c r="M15" s="53"/>
      <c r="N15" s="53"/>
      <c r="O15" s="53"/>
      <c r="P15" s="53"/>
    </row>
    <row r="16" spans="6:16" s="37" customFormat="1" ht="12.75">
      <c r="F16" s="53"/>
      <c r="G16" s="53"/>
      <c r="H16" s="53"/>
      <c r="I16" s="53"/>
      <c r="J16" s="53"/>
      <c r="K16" s="53"/>
      <c r="L16" s="53"/>
      <c r="M16" s="53"/>
      <c r="N16" s="53"/>
      <c r="O16" s="53"/>
      <c r="P16" s="53"/>
    </row>
    <row r="17" spans="5:17" s="37" customFormat="1" ht="12.75">
      <c r="E17" s="57"/>
      <c r="F17" s="53"/>
      <c r="G17" s="53"/>
      <c r="H17" s="53"/>
      <c r="I17" s="53"/>
      <c r="J17" s="53"/>
      <c r="K17" s="53"/>
      <c r="L17" s="53"/>
      <c r="M17" s="53"/>
      <c r="N17" s="53"/>
      <c r="O17" s="53"/>
      <c r="P17" s="53"/>
      <c r="Q17" s="58"/>
    </row>
    <row r="18" spans="5:17" s="37" customFormat="1" ht="12.75">
      <c r="E18" s="57"/>
      <c r="F18" s="53"/>
      <c r="G18" s="53"/>
      <c r="H18" s="53"/>
      <c r="I18" s="53"/>
      <c r="J18" s="53"/>
      <c r="K18" s="53"/>
      <c r="L18" s="53"/>
      <c r="M18" s="53"/>
      <c r="N18" s="53"/>
      <c r="O18" s="53"/>
      <c r="P18" s="53"/>
      <c r="Q18" s="58"/>
    </row>
    <row r="19" spans="5:17" s="37" customFormat="1" ht="12.75">
      <c r="E19" s="57"/>
      <c r="F19" s="53"/>
      <c r="G19" s="53"/>
      <c r="H19" s="53"/>
      <c r="I19" s="53"/>
      <c r="J19" s="53"/>
      <c r="K19" s="53"/>
      <c r="L19" s="53"/>
      <c r="M19" s="53"/>
      <c r="N19" s="53"/>
      <c r="O19" s="53"/>
      <c r="P19" s="53"/>
      <c r="Q19" s="58"/>
    </row>
    <row r="20" spans="5:17" s="37" customFormat="1" ht="12.75">
      <c r="E20" s="57"/>
      <c r="F20" s="53"/>
      <c r="G20" s="53"/>
      <c r="H20" s="53"/>
      <c r="I20" s="53"/>
      <c r="J20" s="53"/>
      <c r="K20" s="53"/>
      <c r="L20" s="53"/>
      <c r="M20" s="53"/>
      <c r="N20" s="53"/>
      <c r="O20" s="53"/>
      <c r="P20" s="53"/>
      <c r="Q20" s="58"/>
    </row>
    <row r="21" s="37" customFormat="1" ht="12.75"/>
    <row r="22" s="37" customFormat="1" ht="12.75"/>
    <row r="23" spans="3:17" s="37" customFormat="1" ht="12.75">
      <c r="C23" s="58"/>
      <c r="D23" s="58"/>
      <c r="E23" s="59"/>
      <c r="F23" s="59"/>
      <c r="G23" s="59"/>
      <c r="H23" s="59"/>
      <c r="I23" s="59"/>
      <c r="J23" s="59"/>
      <c r="K23" s="59"/>
      <c r="L23" s="59"/>
      <c r="M23" s="59"/>
      <c r="N23" s="59"/>
      <c r="O23" s="59"/>
      <c r="P23" s="59"/>
      <c r="Q23" s="58"/>
    </row>
    <row r="24" spans="3:17" s="37" customFormat="1" ht="12.75">
      <c r="C24" s="28"/>
      <c r="E24" s="60"/>
      <c r="F24" s="60"/>
      <c r="G24" s="60"/>
      <c r="H24" s="60"/>
      <c r="I24" s="60"/>
      <c r="J24" s="60"/>
      <c r="K24" s="60"/>
      <c r="L24" s="60"/>
      <c r="M24" s="60"/>
      <c r="N24" s="60"/>
      <c r="O24" s="60"/>
      <c r="P24" s="60"/>
      <c r="Q24" s="58"/>
    </row>
    <row r="25" spans="3:17" s="37" customFormat="1" ht="12.75">
      <c r="C25" s="28"/>
      <c r="E25" s="60"/>
      <c r="F25" s="60"/>
      <c r="G25" s="60"/>
      <c r="H25" s="60"/>
      <c r="I25" s="60"/>
      <c r="J25" s="60"/>
      <c r="K25" s="60"/>
      <c r="L25" s="60"/>
      <c r="M25" s="60"/>
      <c r="N25" s="60"/>
      <c r="O25" s="60"/>
      <c r="P25" s="60"/>
      <c r="Q25" s="58"/>
    </row>
    <row r="26" spans="3:17" s="37" customFormat="1" ht="12.75">
      <c r="C26" s="28"/>
      <c r="E26" s="60"/>
      <c r="F26" s="60"/>
      <c r="G26" s="60"/>
      <c r="H26" s="60"/>
      <c r="I26" s="60"/>
      <c r="J26" s="60"/>
      <c r="K26" s="60"/>
      <c r="L26" s="60"/>
      <c r="M26" s="60"/>
      <c r="N26" s="60"/>
      <c r="O26" s="60"/>
      <c r="P26" s="60"/>
      <c r="Q26" s="58"/>
    </row>
    <row r="27" spans="3:17" s="37" customFormat="1" ht="12.75">
      <c r="C27" s="28"/>
      <c r="E27" s="60"/>
      <c r="F27" s="60"/>
      <c r="G27" s="60"/>
      <c r="H27" s="60"/>
      <c r="I27" s="60"/>
      <c r="J27" s="60"/>
      <c r="K27" s="60"/>
      <c r="L27" s="60"/>
      <c r="M27" s="60"/>
      <c r="N27" s="60"/>
      <c r="O27" s="60"/>
      <c r="P27" s="60"/>
      <c r="Q27" s="58"/>
    </row>
    <row r="28" spans="3:17" s="37" customFormat="1" ht="12.75">
      <c r="C28" s="58"/>
      <c r="D28" s="58"/>
      <c r="E28" s="61"/>
      <c r="F28" s="61"/>
      <c r="G28" s="61"/>
      <c r="H28" s="61"/>
      <c r="I28" s="61"/>
      <c r="J28" s="61"/>
      <c r="K28" s="61"/>
      <c r="L28" s="61"/>
      <c r="M28" s="61"/>
      <c r="N28" s="61"/>
      <c r="O28" s="61"/>
      <c r="P28" s="61"/>
      <c r="Q28" s="58"/>
    </row>
    <row r="29" spans="3:17" s="37" customFormat="1" ht="12.75">
      <c r="C29" s="58"/>
      <c r="D29" s="58"/>
      <c r="E29" s="61"/>
      <c r="F29" s="61"/>
      <c r="G29" s="61"/>
      <c r="H29" s="61"/>
      <c r="I29" s="61"/>
      <c r="J29" s="61"/>
      <c r="K29" s="61"/>
      <c r="L29" s="61"/>
      <c r="M29" s="61"/>
      <c r="N29" s="61"/>
      <c r="O29" s="61"/>
      <c r="P29" s="61"/>
      <c r="Q29" s="58"/>
    </row>
    <row r="30" spans="3:17" s="37" customFormat="1" ht="12.75">
      <c r="C30" s="58"/>
      <c r="D30" s="58"/>
      <c r="E30" s="61"/>
      <c r="F30" s="61"/>
      <c r="G30" s="61"/>
      <c r="H30" s="61"/>
      <c r="I30" s="61"/>
      <c r="J30" s="61"/>
      <c r="K30" s="61"/>
      <c r="L30" s="61"/>
      <c r="M30" s="61"/>
      <c r="N30" s="61"/>
      <c r="O30" s="61"/>
      <c r="P30" s="61"/>
      <c r="Q30" s="58"/>
    </row>
    <row r="31" spans="3:17" s="37" customFormat="1" ht="12.75">
      <c r="C31" s="58"/>
      <c r="D31" s="58"/>
      <c r="E31" s="61"/>
      <c r="F31" s="61"/>
      <c r="G31" s="61"/>
      <c r="H31" s="61"/>
      <c r="I31" s="61"/>
      <c r="J31" s="61"/>
      <c r="K31" s="61"/>
      <c r="L31" s="61"/>
      <c r="M31" s="61"/>
      <c r="N31" s="61"/>
      <c r="O31" s="61"/>
      <c r="P31" s="61"/>
      <c r="Q31" s="58"/>
    </row>
    <row r="32" spans="4:17" s="37" customFormat="1" ht="12.75">
      <c r="D32" s="62"/>
      <c r="E32" s="53"/>
      <c r="F32" s="53"/>
      <c r="G32" s="53"/>
      <c r="H32" s="53"/>
      <c r="I32" s="53"/>
      <c r="J32" s="53"/>
      <c r="K32" s="53"/>
      <c r="L32" s="53"/>
      <c r="M32" s="53"/>
      <c r="N32" s="53"/>
      <c r="O32" s="53"/>
      <c r="P32" s="53"/>
      <c r="Q32" s="58"/>
    </row>
    <row r="33" spans="4:17" s="37" customFormat="1" ht="12.75">
      <c r="D33" s="62"/>
      <c r="E33" s="57"/>
      <c r="F33" s="53"/>
      <c r="G33" s="53"/>
      <c r="H33" s="53"/>
      <c r="I33" s="53"/>
      <c r="J33" s="53"/>
      <c r="K33" s="53"/>
      <c r="L33" s="53"/>
      <c r="M33" s="53"/>
      <c r="N33" s="53"/>
      <c r="O33" s="53"/>
      <c r="P33" s="53"/>
      <c r="Q33" s="58"/>
    </row>
    <row r="34" s="37" customFormat="1" ht="12.75"/>
    <row r="35" spans="5:17" s="37" customFormat="1" ht="12.75">
      <c r="E35" s="61"/>
      <c r="F35" s="61"/>
      <c r="G35" s="61"/>
      <c r="H35" s="61"/>
      <c r="I35" s="61"/>
      <c r="J35" s="61"/>
      <c r="K35" s="61"/>
      <c r="L35" s="61"/>
      <c r="M35" s="61"/>
      <c r="N35" s="61"/>
      <c r="O35" s="61"/>
      <c r="P35" s="61"/>
      <c r="Q35" s="58"/>
    </row>
    <row r="36" spans="5:17" s="37" customFormat="1" ht="12.75">
      <c r="E36" s="61"/>
      <c r="F36" s="61"/>
      <c r="G36" s="61"/>
      <c r="H36" s="61"/>
      <c r="I36" s="61"/>
      <c r="J36" s="61"/>
      <c r="K36" s="61"/>
      <c r="L36" s="61"/>
      <c r="M36" s="61"/>
      <c r="N36" s="61"/>
      <c r="O36" s="61"/>
      <c r="P36" s="61"/>
      <c r="Q36" s="58"/>
    </row>
    <row r="37" spans="5:17" s="37" customFormat="1" ht="12.75">
      <c r="E37" s="61"/>
      <c r="F37" s="61"/>
      <c r="G37" s="61"/>
      <c r="H37" s="61"/>
      <c r="I37" s="61"/>
      <c r="J37" s="61"/>
      <c r="K37" s="61"/>
      <c r="L37" s="61"/>
      <c r="M37" s="61"/>
      <c r="N37" s="61"/>
      <c r="O37" s="61"/>
      <c r="P37" s="61"/>
      <c r="Q37" s="58"/>
    </row>
    <row r="38" spans="5:17" s="37" customFormat="1" ht="12.75">
      <c r="E38" s="61"/>
      <c r="F38" s="61"/>
      <c r="G38" s="61"/>
      <c r="H38" s="61"/>
      <c r="I38" s="61"/>
      <c r="J38" s="61"/>
      <c r="K38" s="61"/>
      <c r="L38" s="61"/>
      <c r="M38" s="61"/>
      <c r="N38" s="61"/>
      <c r="O38" s="61"/>
      <c r="P38" s="61"/>
      <c r="Q38" s="58"/>
    </row>
    <row r="39" spans="5:17" s="37" customFormat="1" ht="12.75">
      <c r="E39" s="61"/>
      <c r="F39" s="61"/>
      <c r="G39" s="61"/>
      <c r="H39" s="61"/>
      <c r="I39" s="61"/>
      <c r="J39" s="61"/>
      <c r="K39" s="61"/>
      <c r="L39" s="61"/>
      <c r="M39" s="61"/>
      <c r="N39" s="61"/>
      <c r="O39" s="61"/>
      <c r="P39" s="61"/>
      <c r="Q39" s="58"/>
    </row>
    <row r="40" spans="6:17" s="37" customFormat="1" ht="12.75">
      <c r="F40" s="63"/>
      <c r="G40" s="63"/>
      <c r="H40" s="63"/>
      <c r="I40" s="63"/>
      <c r="J40" s="63"/>
      <c r="K40" s="63"/>
      <c r="L40" s="63"/>
      <c r="M40" s="63"/>
      <c r="N40" s="63"/>
      <c r="O40" s="63"/>
      <c r="P40" s="63"/>
      <c r="Q40" s="58"/>
    </row>
    <row r="41" spans="5:17" s="37" customFormat="1" ht="12.75">
      <c r="E41" s="61"/>
      <c r="F41" s="61"/>
      <c r="G41" s="61"/>
      <c r="H41" s="61"/>
      <c r="I41" s="61"/>
      <c r="J41" s="61"/>
      <c r="K41" s="61"/>
      <c r="L41" s="61"/>
      <c r="M41" s="61"/>
      <c r="N41" s="61"/>
      <c r="O41" s="61"/>
      <c r="P41" s="61"/>
      <c r="Q41" s="58"/>
    </row>
    <row r="42" spans="5:17" s="37" customFormat="1" ht="12.75">
      <c r="E42" s="61"/>
      <c r="F42" s="61"/>
      <c r="G42" s="61"/>
      <c r="H42" s="61"/>
      <c r="I42" s="61"/>
      <c r="J42" s="61"/>
      <c r="K42" s="61"/>
      <c r="L42" s="61"/>
      <c r="M42" s="61"/>
      <c r="N42" s="61"/>
      <c r="O42" s="61"/>
      <c r="P42" s="61"/>
      <c r="Q42" s="58"/>
    </row>
    <row r="43" spans="5:17" s="37" customFormat="1" ht="12.75">
      <c r="E43" s="61"/>
      <c r="F43" s="61"/>
      <c r="G43" s="61"/>
      <c r="H43" s="61"/>
      <c r="I43" s="61"/>
      <c r="J43" s="61"/>
      <c r="K43" s="61"/>
      <c r="L43" s="61"/>
      <c r="M43" s="61"/>
      <c r="N43" s="61"/>
      <c r="O43" s="61"/>
      <c r="P43" s="61"/>
      <c r="Q43" s="58"/>
    </row>
    <row r="44" spans="5:17" s="37" customFormat="1" ht="12.75">
      <c r="E44" s="61"/>
      <c r="Q44" s="58"/>
    </row>
    <row r="45" spans="5:17" s="37" customFormat="1" ht="12.75">
      <c r="E45" s="53"/>
      <c r="F45" s="53"/>
      <c r="G45" s="53"/>
      <c r="H45" s="53"/>
      <c r="I45" s="53"/>
      <c r="J45" s="53"/>
      <c r="K45" s="53"/>
      <c r="L45" s="53"/>
      <c r="M45" s="53"/>
      <c r="N45" s="53"/>
      <c r="O45" s="53"/>
      <c r="P45" s="53"/>
      <c r="Q45" s="58"/>
    </row>
    <row r="46" spans="5:17" s="37" customFormat="1" ht="12.75">
      <c r="E46" s="53"/>
      <c r="F46" s="53"/>
      <c r="G46" s="53"/>
      <c r="H46" s="53"/>
      <c r="I46" s="53"/>
      <c r="J46" s="53"/>
      <c r="K46" s="53"/>
      <c r="L46" s="53"/>
      <c r="M46" s="53"/>
      <c r="N46" s="53"/>
      <c r="O46" s="53"/>
      <c r="P46" s="53"/>
      <c r="Q46" s="58"/>
    </row>
    <row r="47" spans="4:17" s="37" customFormat="1" ht="12.75">
      <c r="D47" s="64"/>
      <c r="E47" s="61"/>
      <c r="Q47" s="58"/>
    </row>
    <row r="48" spans="5:17" s="37" customFormat="1" ht="12.75">
      <c r="E48" s="65"/>
      <c r="F48" s="66"/>
      <c r="G48" s="66"/>
      <c r="H48" s="66"/>
      <c r="I48" s="66"/>
      <c r="J48" s="66"/>
      <c r="K48" s="66"/>
      <c r="L48" s="66"/>
      <c r="M48" s="66"/>
      <c r="N48" s="66"/>
      <c r="O48" s="66"/>
      <c r="P48" s="66"/>
      <c r="Q48" s="61"/>
    </row>
    <row r="49" spans="5:17" s="37" customFormat="1" ht="12.75">
      <c r="E49" s="61"/>
      <c r="F49" s="61"/>
      <c r="G49" s="61"/>
      <c r="H49" s="61"/>
      <c r="I49" s="61"/>
      <c r="J49" s="61"/>
      <c r="K49" s="61"/>
      <c r="L49" s="61"/>
      <c r="M49" s="61"/>
      <c r="N49" s="61"/>
      <c r="O49" s="61"/>
      <c r="P49" s="61"/>
      <c r="Q49" s="61"/>
    </row>
    <row r="50" spans="5:17" s="37" customFormat="1" ht="12.75">
      <c r="E50" s="61"/>
      <c r="F50" s="61"/>
      <c r="G50" s="61"/>
      <c r="H50" s="61"/>
      <c r="I50" s="61"/>
      <c r="J50" s="61"/>
      <c r="K50" s="61"/>
      <c r="L50" s="61"/>
      <c r="M50" s="61"/>
      <c r="N50" s="61"/>
      <c r="O50" s="61"/>
      <c r="P50" s="61"/>
      <c r="Q50" s="61"/>
    </row>
    <row r="51" spans="5:17" s="37" customFormat="1" ht="12.75">
      <c r="E51" s="61"/>
      <c r="F51" s="61"/>
      <c r="G51" s="61"/>
      <c r="H51" s="61"/>
      <c r="I51" s="61"/>
      <c r="J51" s="61"/>
      <c r="K51" s="61"/>
      <c r="L51" s="61"/>
      <c r="M51" s="61"/>
      <c r="N51" s="61"/>
      <c r="O51" s="61"/>
      <c r="P51" s="61"/>
      <c r="Q51" s="61"/>
    </row>
    <row r="52" spans="5:17" s="37" customFormat="1" ht="12.75">
      <c r="E52" s="61"/>
      <c r="F52" s="61"/>
      <c r="G52" s="61"/>
      <c r="H52" s="61"/>
      <c r="I52" s="61"/>
      <c r="J52" s="61"/>
      <c r="K52" s="61"/>
      <c r="L52" s="61"/>
      <c r="M52" s="61"/>
      <c r="N52" s="61"/>
      <c r="O52" s="61"/>
      <c r="P52" s="61"/>
      <c r="Q52" s="61"/>
    </row>
    <row r="53" spans="5:17" s="37" customFormat="1" ht="12.75">
      <c r="E53" s="61"/>
      <c r="Q53" s="61"/>
    </row>
    <row r="54" spans="5:17" s="37" customFormat="1" ht="12.75">
      <c r="E54" s="67"/>
      <c r="F54" s="68"/>
      <c r="G54" s="68"/>
      <c r="H54" s="68"/>
      <c r="I54" s="68"/>
      <c r="J54" s="68"/>
      <c r="K54" s="68"/>
      <c r="L54" s="68"/>
      <c r="M54" s="68"/>
      <c r="N54" s="68"/>
      <c r="O54" s="68"/>
      <c r="P54" s="68"/>
      <c r="Q54" s="61"/>
    </row>
    <row r="55" spans="5:17" s="37" customFormat="1" ht="12.75">
      <c r="E55" s="69"/>
      <c r="F55" s="53"/>
      <c r="G55" s="53"/>
      <c r="H55" s="53"/>
      <c r="I55" s="53"/>
      <c r="J55" s="53"/>
      <c r="K55" s="53"/>
      <c r="L55" s="53"/>
      <c r="M55" s="53"/>
      <c r="N55" s="53"/>
      <c r="O55" s="53"/>
      <c r="P55" s="53"/>
      <c r="Q55" s="61"/>
    </row>
    <row r="56" spans="4:17" s="37" customFormat="1" ht="12.75">
      <c r="D56" s="64"/>
      <c r="E56" s="69"/>
      <c r="F56" s="53"/>
      <c r="G56" s="53"/>
      <c r="H56" s="53"/>
      <c r="I56" s="53"/>
      <c r="J56" s="53"/>
      <c r="K56" s="53"/>
      <c r="L56" s="53"/>
      <c r="M56" s="53"/>
      <c r="N56" s="53"/>
      <c r="O56" s="53"/>
      <c r="P56" s="53"/>
      <c r="Q56" s="61"/>
    </row>
    <row r="57" spans="5:17" s="37" customFormat="1" ht="12.75">
      <c r="E57" s="61"/>
      <c r="Q57" s="61"/>
    </row>
    <row r="58" spans="4:17" s="37" customFormat="1" ht="12.75">
      <c r="D58" s="64"/>
      <c r="E58" s="53"/>
      <c r="F58" s="53"/>
      <c r="G58" s="53"/>
      <c r="H58" s="53"/>
      <c r="I58" s="53"/>
      <c r="J58" s="53"/>
      <c r="K58" s="53"/>
      <c r="L58" s="53"/>
      <c r="M58" s="53"/>
      <c r="N58" s="53"/>
      <c r="O58" s="53"/>
      <c r="P58" s="53"/>
      <c r="Q58" s="61"/>
    </row>
    <row r="59" spans="4:17" s="37" customFormat="1" ht="12.75">
      <c r="D59" s="64"/>
      <c r="E59" s="70"/>
      <c r="F59" s="70"/>
      <c r="G59" s="70"/>
      <c r="H59" s="70"/>
      <c r="I59" s="70"/>
      <c r="J59" s="70"/>
      <c r="K59" s="70"/>
      <c r="L59" s="70"/>
      <c r="M59" s="70"/>
      <c r="N59" s="70"/>
      <c r="O59" s="70"/>
      <c r="P59" s="70"/>
      <c r="Q59" s="61"/>
    </row>
    <row r="60" spans="5:17" s="37" customFormat="1" ht="12.75">
      <c r="E60" s="61"/>
      <c r="Q60" s="61"/>
    </row>
    <row r="61" spans="5:17" s="37" customFormat="1" ht="12.75">
      <c r="E61" s="61"/>
      <c r="F61" s="61"/>
      <c r="G61" s="61"/>
      <c r="H61" s="61"/>
      <c r="I61" s="61"/>
      <c r="J61" s="61"/>
      <c r="K61" s="61"/>
      <c r="L61" s="61"/>
      <c r="M61" s="61"/>
      <c r="N61" s="61"/>
      <c r="O61" s="61"/>
      <c r="P61" s="61"/>
      <c r="Q61" s="61"/>
    </row>
    <row r="62" spans="5:17" s="37" customFormat="1" ht="12.75">
      <c r="E62" s="61"/>
      <c r="Q62" s="61"/>
    </row>
    <row r="63" spans="5:17" s="37" customFormat="1" ht="12.75">
      <c r="E63" s="61"/>
      <c r="Q63" s="61"/>
    </row>
    <row r="64" spans="5:17" ht="12.75">
      <c r="E64" s="71"/>
      <c r="Q64" s="71"/>
    </row>
    <row r="65" spans="5:17" ht="12.75">
      <c r="E65" s="71"/>
      <c r="Q65" s="71"/>
    </row>
    <row r="66" spans="5:17" ht="12.75">
      <c r="E66" s="71"/>
      <c r="Q66" s="71"/>
    </row>
    <row r="67" spans="5:17" ht="12.75">
      <c r="E67" s="71"/>
      <c r="F67" s="71"/>
      <c r="G67" s="71"/>
      <c r="H67" s="71"/>
      <c r="I67" s="71"/>
      <c r="J67" s="71"/>
      <c r="K67" s="71"/>
      <c r="L67" s="71"/>
      <c r="M67" s="71"/>
      <c r="N67" s="71"/>
      <c r="O67" s="71"/>
      <c r="P67" s="71"/>
      <c r="Q67" s="71"/>
    </row>
    <row r="68" spans="5:17" ht="12.75">
      <c r="E68" s="71"/>
      <c r="F68" s="71"/>
      <c r="G68" s="71"/>
      <c r="H68" s="71"/>
      <c r="I68" s="71"/>
      <c r="J68" s="71"/>
      <c r="K68" s="71"/>
      <c r="L68" s="71"/>
      <c r="M68" s="71"/>
      <c r="N68" s="71"/>
      <c r="O68" s="71"/>
      <c r="P68" s="71"/>
      <c r="Q68" s="71"/>
    </row>
    <row r="69" spans="5:17" ht="12.75">
      <c r="E69" s="71"/>
      <c r="F69" s="71"/>
      <c r="G69" s="71"/>
      <c r="H69" s="71"/>
      <c r="I69" s="71"/>
      <c r="J69" s="71"/>
      <c r="K69" s="71"/>
      <c r="L69" s="71"/>
      <c r="M69" s="71"/>
      <c r="N69" s="71"/>
      <c r="O69" s="71"/>
      <c r="P69" s="71"/>
      <c r="Q69" s="71"/>
    </row>
    <row r="71" spans="5:17" ht="12.75">
      <c r="E71" s="72"/>
      <c r="F71" s="72"/>
      <c r="G71" s="72"/>
      <c r="H71" s="72"/>
      <c r="I71" s="72"/>
      <c r="J71" s="72"/>
      <c r="K71" s="72"/>
      <c r="L71" s="72"/>
      <c r="M71" s="72"/>
      <c r="N71" s="72"/>
      <c r="O71" s="72"/>
      <c r="P71" s="72"/>
      <c r="Q71" s="73"/>
    </row>
    <row r="72" spans="5:17" ht="12.75">
      <c r="E72" s="74"/>
      <c r="F72" s="71"/>
      <c r="G72" s="71"/>
      <c r="H72" s="71"/>
      <c r="I72" s="71"/>
      <c r="J72" s="71"/>
      <c r="K72" s="71"/>
      <c r="L72" s="71"/>
      <c r="M72" s="71"/>
      <c r="N72" s="71"/>
      <c r="O72" s="71"/>
      <c r="P72" s="71"/>
      <c r="Q72" s="72"/>
    </row>
    <row r="73" spans="5:17" ht="12.75">
      <c r="E73" s="75"/>
      <c r="F73" s="75"/>
      <c r="G73" s="75"/>
      <c r="H73" s="75"/>
      <c r="I73" s="75"/>
      <c r="J73" s="75"/>
      <c r="K73" s="75"/>
      <c r="L73" s="75"/>
      <c r="M73" s="75"/>
      <c r="N73" s="75"/>
      <c r="O73" s="75"/>
      <c r="P73" s="75"/>
      <c r="Q73" s="73"/>
    </row>
    <row r="74" spans="5:17" ht="12.75">
      <c r="E74" s="76"/>
      <c r="F74" s="76"/>
      <c r="G74" s="76"/>
      <c r="H74" s="76"/>
      <c r="I74" s="76"/>
      <c r="J74" s="76"/>
      <c r="K74" s="76"/>
      <c r="L74" s="76"/>
      <c r="M74" s="76"/>
      <c r="N74" s="76"/>
      <c r="O74" s="76"/>
      <c r="P74" s="76"/>
      <c r="Q74" s="71"/>
    </row>
    <row r="75" spans="5:17" ht="12.75">
      <c r="E75" s="71"/>
      <c r="F75" s="71"/>
      <c r="G75" s="71"/>
      <c r="H75" s="71"/>
      <c r="I75" s="71"/>
      <c r="J75" s="71"/>
      <c r="K75" s="71"/>
      <c r="L75" s="71"/>
      <c r="M75" s="71"/>
      <c r="N75" s="71"/>
      <c r="O75" s="71"/>
      <c r="P75" s="71"/>
      <c r="Q75" s="71"/>
    </row>
    <row r="76" spans="5:17" ht="12.75">
      <c r="E76" s="72"/>
      <c r="F76" s="72"/>
      <c r="G76" s="72"/>
      <c r="H76" s="72"/>
      <c r="I76" s="72"/>
      <c r="J76" s="72"/>
      <c r="K76" s="72"/>
      <c r="L76" s="72"/>
      <c r="M76" s="72"/>
      <c r="N76" s="72"/>
      <c r="O76" s="72"/>
      <c r="P76" s="72"/>
      <c r="Q76" s="73"/>
    </row>
    <row r="77" spans="5:17" ht="12.75">
      <c r="E77" s="72"/>
      <c r="F77" s="72"/>
      <c r="G77" s="72"/>
      <c r="H77" s="72"/>
      <c r="I77" s="72"/>
      <c r="J77" s="72"/>
      <c r="K77" s="72"/>
      <c r="L77" s="72"/>
      <c r="M77" s="72"/>
      <c r="N77" s="72"/>
      <c r="O77" s="72"/>
      <c r="P77" s="72"/>
      <c r="Q77" s="73"/>
    </row>
    <row r="78" spans="5:17" ht="12.75">
      <c r="E78" s="71"/>
      <c r="F78" s="71"/>
      <c r="G78" s="71"/>
      <c r="H78" s="71"/>
      <c r="I78" s="71"/>
      <c r="J78" s="71"/>
      <c r="K78" s="71"/>
      <c r="L78" s="71"/>
      <c r="M78" s="71"/>
      <c r="N78" s="71"/>
      <c r="O78" s="71"/>
      <c r="P78" s="71"/>
      <c r="Q78" s="71"/>
    </row>
    <row r="79" spans="5:17" ht="12.75">
      <c r="E79" s="71"/>
      <c r="F79" s="71"/>
      <c r="G79" s="71"/>
      <c r="H79" s="71"/>
      <c r="I79" s="71"/>
      <c r="J79" s="71"/>
      <c r="K79" s="71"/>
      <c r="L79" s="71"/>
      <c r="M79" s="71"/>
      <c r="N79" s="71"/>
      <c r="O79" s="71"/>
      <c r="P79" s="71"/>
      <c r="Q79" s="71"/>
    </row>
  </sheetData>
  <sheetProtection sheet="1" objects="1" scenarios="1"/>
  <mergeCells count="2">
    <mergeCell ref="C10:E10"/>
    <mergeCell ref="B3:D3"/>
  </mergeCells>
  <hyperlinks>
    <hyperlink ref="B3" r:id="rId1" tooltip="Download report from www.epa-nr.org" display="Click here to download the report from www.epa-nr.org"/>
  </hyperlinks>
  <printOptions/>
  <pageMargins left="0.75" right="0.75" top="1" bottom="1" header="0.5" footer="0.5"/>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sheetPr codeName="Sheet10"/>
  <dimension ref="B2:R14"/>
  <sheetViews>
    <sheetView workbookViewId="0" topLeftCell="A1">
      <selection activeCell="A1" sqref="A1"/>
    </sheetView>
  </sheetViews>
  <sheetFormatPr defaultColWidth="9.140625" defaultRowHeight="12.75"/>
  <cols>
    <col min="1" max="2" width="3.28125" style="3" customWidth="1"/>
    <col min="3" max="3" width="23.28125" style="3" bestFit="1" customWidth="1"/>
    <col min="4" max="16384" width="9.140625" style="3" customWidth="1"/>
  </cols>
  <sheetData>
    <row r="2" ht="12.75">
      <c r="B2" s="3" t="s">
        <v>209</v>
      </c>
    </row>
    <row r="4" spans="3:4" ht="13.5" thickBot="1">
      <c r="C4" s="26" t="s">
        <v>13</v>
      </c>
      <c r="D4" s="26"/>
    </row>
    <row r="5" spans="3:16" ht="13.5" thickBot="1">
      <c r="C5" s="239" t="s">
        <v>51</v>
      </c>
      <c r="D5" s="240"/>
      <c r="E5" s="5" t="s">
        <v>36</v>
      </c>
      <c r="F5" s="6" t="s">
        <v>37</v>
      </c>
      <c r="G5" s="6" t="s">
        <v>79</v>
      </c>
      <c r="H5" s="6" t="s">
        <v>38</v>
      </c>
      <c r="I5" s="6" t="s">
        <v>77</v>
      </c>
      <c r="J5" s="6" t="s">
        <v>39</v>
      </c>
      <c r="K5" s="6" t="s">
        <v>40</v>
      </c>
      <c r="L5" s="6" t="s">
        <v>41</v>
      </c>
      <c r="M5" s="6" t="s">
        <v>42</v>
      </c>
      <c r="N5" s="6" t="s">
        <v>78</v>
      </c>
      <c r="O5" s="6" t="s">
        <v>43</v>
      </c>
      <c r="P5" s="7" t="s">
        <v>44</v>
      </c>
    </row>
    <row r="6" spans="3:16" ht="12.75">
      <c r="C6" s="8" t="s">
        <v>14</v>
      </c>
      <c r="D6" s="9" t="s">
        <v>45</v>
      </c>
      <c r="E6" s="10">
        <v>2.4961021505376344</v>
      </c>
      <c r="F6" s="11">
        <v>3.204315476190478</v>
      </c>
      <c r="G6" s="11">
        <v>5.707123655913981</v>
      </c>
      <c r="H6" s="11">
        <v>8.700833333333335</v>
      </c>
      <c r="I6" s="11">
        <v>12.701344086021512</v>
      </c>
      <c r="J6" s="11">
        <v>15.504027777777782</v>
      </c>
      <c r="K6" s="11">
        <v>17.203629032258057</v>
      </c>
      <c r="L6" s="11">
        <v>17.000134408602168</v>
      </c>
      <c r="M6" s="11">
        <v>14.398194444444442</v>
      </c>
      <c r="N6" s="11">
        <v>10.401209677419356</v>
      </c>
      <c r="O6" s="11">
        <v>6.002777777777778</v>
      </c>
      <c r="P6" s="12">
        <v>3.399596774193549</v>
      </c>
    </row>
    <row r="7" spans="3:16" ht="12.75">
      <c r="C7" s="14" t="s">
        <v>15</v>
      </c>
      <c r="D7" s="15" t="s">
        <v>180</v>
      </c>
      <c r="E7" s="16">
        <v>18.688022700119486</v>
      </c>
      <c r="F7" s="17">
        <v>36.65261243386244</v>
      </c>
      <c r="G7" s="17">
        <v>57.37716547192357</v>
      </c>
      <c r="H7" s="17">
        <v>82.33410493827161</v>
      </c>
      <c r="I7" s="17">
        <v>113.87171445639197</v>
      </c>
      <c r="J7" s="17">
        <v>115.55092592592598</v>
      </c>
      <c r="K7" s="17">
        <v>113.16532258064514</v>
      </c>
      <c r="L7" s="17">
        <v>94.34849163679804</v>
      </c>
      <c r="M7" s="17">
        <v>70.89891975308642</v>
      </c>
      <c r="N7" s="17">
        <v>46.91644265232971</v>
      </c>
      <c r="O7" s="17">
        <v>21.6358024691358</v>
      </c>
      <c r="P7" s="18">
        <v>14.706167861409805</v>
      </c>
    </row>
    <row r="8" spans="3:16" ht="12.75">
      <c r="C8" s="14" t="s">
        <v>16</v>
      </c>
      <c r="D8" s="15" t="s">
        <v>180</v>
      </c>
      <c r="E8" s="16">
        <v>43.5580943847073</v>
      </c>
      <c r="F8" s="17">
        <v>72.33672288359793</v>
      </c>
      <c r="G8" s="17">
        <v>87.61648745519719</v>
      </c>
      <c r="H8" s="17">
        <v>102.91898148148148</v>
      </c>
      <c r="I8" s="17">
        <v>105.98752986857822</v>
      </c>
      <c r="J8" s="17">
        <v>98.56481481481481</v>
      </c>
      <c r="K8" s="17">
        <v>101.78502090800475</v>
      </c>
      <c r="L8" s="17">
        <v>105.32146057347671</v>
      </c>
      <c r="M8" s="17">
        <v>102.67283950617293</v>
      </c>
      <c r="N8" s="17">
        <v>89.35819892473117</v>
      </c>
      <c r="O8" s="17">
        <v>52.867669753086425</v>
      </c>
      <c r="P8" s="18">
        <v>40.45474910394269</v>
      </c>
    </row>
    <row r="9" spans="3:16" ht="12.75">
      <c r="C9" s="14" t="s">
        <v>17</v>
      </c>
      <c r="D9" s="15" t="s">
        <v>180</v>
      </c>
      <c r="E9" s="16">
        <v>17.818473715651137</v>
      </c>
      <c r="F9" s="17">
        <v>34.97271825396826</v>
      </c>
      <c r="G9" s="17">
        <v>57.2703853046595</v>
      </c>
      <c r="H9" s="17">
        <v>84.62191358024691</v>
      </c>
      <c r="I9" s="17">
        <v>110.24417562724014</v>
      </c>
      <c r="J9" s="17">
        <v>107.31983024691364</v>
      </c>
      <c r="K9" s="17">
        <v>107.11282855436076</v>
      </c>
      <c r="L9" s="17">
        <v>101.01030465949806</v>
      </c>
      <c r="M9" s="17">
        <v>68.81751543209876</v>
      </c>
      <c r="N9" s="17">
        <v>45.36364994026285</v>
      </c>
      <c r="O9" s="17">
        <v>21.19405864197531</v>
      </c>
      <c r="P9" s="18">
        <v>13.377762843488657</v>
      </c>
    </row>
    <row r="10" spans="3:16" ht="12.75">
      <c r="C10" s="14" t="s">
        <v>18</v>
      </c>
      <c r="D10" s="15" t="s">
        <v>180</v>
      </c>
      <c r="E10" s="16">
        <v>10.597744922341697</v>
      </c>
      <c r="F10" s="17">
        <v>19.65319113756614</v>
      </c>
      <c r="G10" s="17">
        <v>30.959154719235357</v>
      </c>
      <c r="H10" s="17">
        <v>47.60223765432099</v>
      </c>
      <c r="I10" s="17">
        <v>66.90748207885305</v>
      </c>
      <c r="J10" s="17">
        <v>70.23765432098759</v>
      </c>
      <c r="K10" s="17">
        <v>70.63620071684586</v>
      </c>
      <c r="L10" s="17">
        <v>57.44511648745515</v>
      </c>
      <c r="M10" s="17">
        <v>38.412037037037045</v>
      </c>
      <c r="N10" s="17">
        <v>24.04980585424134</v>
      </c>
      <c r="O10" s="17">
        <v>12.89814814814814</v>
      </c>
      <c r="P10" s="18">
        <v>8.048835125448027</v>
      </c>
    </row>
    <row r="11" spans="3:18" ht="13.5" thickBot="1">
      <c r="C11" s="19" t="s">
        <v>46</v>
      </c>
      <c r="D11" s="20" t="s">
        <v>180</v>
      </c>
      <c r="E11" s="21">
        <v>26.99970131421744</v>
      </c>
      <c r="F11" s="22">
        <v>54.99917328042326</v>
      </c>
      <c r="G11" s="22">
        <v>89.00164277180407</v>
      </c>
      <c r="H11" s="22">
        <v>142.00038580246914</v>
      </c>
      <c r="I11" s="22">
        <v>188.00141875746712</v>
      </c>
      <c r="J11" s="22">
        <v>196.0030864197531</v>
      </c>
      <c r="K11" s="22">
        <v>191.00059737156514</v>
      </c>
      <c r="L11" s="22">
        <v>165.99462365591398</v>
      </c>
      <c r="M11" s="22">
        <v>117</v>
      </c>
      <c r="N11" s="22">
        <v>71.99634109916369</v>
      </c>
      <c r="O11" s="22">
        <v>33.99768518518518</v>
      </c>
      <c r="P11" s="23">
        <v>21.00022401433691</v>
      </c>
      <c r="R11" s="27"/>
    </row>
    <row r="12" spans="3:18" ht="13.5" thickBot="1">
      <c r="C12" s="28"/>
      <c r="D12" s="29"/>
      <c r="E12" s="30"/>
      <c r="F12" s="30"/>
      <c r="G12" s="30"/>
      <c r="H12" s="30"/>
      <c r="I12" s="30"/>
      <c r="J12" s="30"/>
      <c r="K12" s="30"/>
      <c r="L12" s="30"/>
      <c r="M12" s="30"/>
      <c r="N12" s="30"/>
      <c r="O12" s="30"/>
      <c r="P12" s="30"/>
      <c r="R12" s="27"/>
    </row>
    <row r="13" spans="3:18" ht="13.5" thickBot="1">
      <c r="C13" s="31" t="s">
        <v>20</v>
      </c>
      <c r="D13" s="4"/>
      <c r="E13" s="5" t="s">
        <v>36</v>
      </c>
      <c r="F13" s="6" t="s">
        <v>37</v>
      </c>
      <c r="G13" s="6" t="s">
        <v>79</v>
      </c>
      <c r="H13" s="6" t="s">
        <v>38</v>
      </c>
      <c r="I13" s="6" t="s">
        <v>77</v>
      </c>
      <c r="J13" s="6" t="s">
        <v>39</v>
      </c>
      <c r="K13" s="6" t="s">
        <v>40</v>
      </c>
      <c r="L13" s="6" t="s">
        <v>41</v>
      </c>
      <c r="M13" s="6" t="s">
        <v>42</v>
      </c>
      <c r="N13" s="6" t="s">
        <v>78</v>
      </c>
      <c r="O13" s="6" t="s">
        <v>43</v>
      </c>
      <c r="P13" s="7" t="s">
        <v>44</v>
      </c>
      <c r="R13" s="27"/>
    </row>
    <row r="14" spans="3:16" ht="13.5" thickBot="1">
      <c r="C14" s="32" t="s">
        <v>76</v>
      </c>
      <c r="D14" s="33" t="s">
        <v>2</v>
      </c>
      <c r="E14" s="34">
        <v>2.6784</v>
      </c>
      <c r="F14" s="34">
        <v>2.4192</v>
      </c>
      <c r="G14" s="34">
        <v>2.6784</v>
      </c>
      <c r="H14" s="34">
        <v>2.592</v>
      </c>
      <c r="I14" s="34">
        <v>2.6784</v>
      </c>
      <c r="J14" s="35">
        <v>2.592</v>
      </c>
      <c r="K14" s="34">
        <v>2.6784</v>
      </c>
      <c r="L14" s="34">
        <v>2.6784</v>
      </c>
      <c r="M14" s="34">
        <v>2.592</v>
      </c>
      <c r="N14" s="34">
        <v>2.6784</v>
      </c>
      <c r="O14" s="34">
        <v>2.592</v>
      </c>
      <c r="P14" s="36">
        <v>2.6784</v>
      </c>
    </row>
  </sheetData>
  <sheetProtection sheet="1" objects="1" scenarios="1"/>
  <mergeCells count="1">
    <mergeCell ref="C5:D5"/>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26"/>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spans="2:3" ht="12.75">
      <c r="B2" s="2" t="s">
        <v>212</v>
      </c>
      <c r="C2" s="3"/>
    </row>
    <row r="3" ht="13.5" thickBot="1"/>
    <row r="4" spans="3:16" ht="13.5" thickBot="1">
      <c r="C4" s="241" t="s">
        <v>211</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c r="F5" s="170"/>
      <c r="G5" s="170"/>
      <c r="H5" s="170"/>
      <c r="I5" s="170"/>
      <c r="J5" s="170"/>
      <c r="K5" s="170"/>
      <c r="L5" s="170"/>
      <c r="M5" s="170"/>
      <c r="N5" s="170"/>
      <c r="O5" s="170"/>
      <c r="P5" s="171"/>
    </row>
    <row r="6" spans="3:16" s="13" customFormat="1" ht="14.25">
      <c r="C6" s="14" t="s">
        <v>15</v>
      </c>
      <c r="D6" s="15" t="s">
        <v>49</v>
      </c>
      <c r="E6" s="172"/>
      <c r="F6" s="173"/>
      <c r="G6" s="173"/>
      <c r="H6" s="173"/>
      <c r="I6" s="173"/>
      <c r="J6" s="173"/>
      <c r="K6" s="173"/>
      <c r="L6" s="173"/>
      <c r="M6" s="173"/>
      <c r="N6" s="173"/>
      <c r="O6" s="173"/>
      <c r="P6" s="174"/>
    </row>
    <row r="7" spans="3:16" s="13" customFormat="1" ht="14.25">
      <c r="C7" s="14" t="s">
        <v>16</v>
      </c>
      <c r="D7" s="15" t="s">
        <v>49</v>
      </c>
      <c r="E7" s="172"/>
      <c r="F7" s="173"/>
      <c r="G7" s="173"/>
      <c r="H7" s="173"/>
      <c r="I7" s="173"/>
      <c r="J7" s="173"/>
      <c r="K7" s="173"/>
      <c r="L7" s="173"/>
      <c r="M7" s="173"/>
      <c r="N7" s="173"/>
      <c r="O7" s="173"/>
      <c r="P7" s="174"/>
    </row>
    <row r="8" spans="3:16" s="13" customFormat="1" ht="14.25">
      <c r="C8" s="14" t="s">
        <v>17</v>
      </c>
      <c r="D8" s="15" t="s">
        <v>49</v>
      </c>
      <c r="E8" s="172"/>
      <c r="F8" s="173"/>
      <c r="G8" s="173"/>
      <c r="H8" s="173"/>
      <c r="I8" s="173"/>
      <c r="J8" s="173"/>
      <c r="K8" s="173"/>
      <c r="L8" s="173"/>
      <c r="M8" s="173"/>
      <c r="N8" s="173"/>
      <c r="O8" s="173"/>
      <c r="P8" s="174"/>
    </row>
    <row r="9" spans="3:16" s="13" customFormat="1" ht="14.25">
      <c r="C9" s="14" t="s">
        <v>18</v>
      </c>
      <c r="D9" s="15" t="s">
        <v>49</v>
      </c>
      <c r="E9" s="172"/>
      <c r="F9" s="173"/>
      <c r="G9" s="173"/>
      <c r="H9" s="173"/>
      <c r="I9" s="173"/>
      <c r="J9" s="173"/>
      <c r="K9" s="173"/>
      <c r="L9" s="173"/>
      <c r="M9" s="173"/>
      <c r="N9" s="173"/>
      <c r="O9" s="173"/>
      <c r="P9" s="174"/>
    </row>
    <row r="10" spans="3:16" ht="15" thickBot="1">
      <c r="C10" s="19" t="s">
        <v>46</v>
      </c>
      <c r="D10" s="20" t="s">
        <v>49</v>
      </c>
      <c r="E10" s="175"/>
      <c r="F10" s="176"/>
      <c r="G10" s="176"/>
      <c r="H10" s="176"/>
      <c r="I10" s="176"/>
      <c r="J10" s="176"/>
      <c r="K10" s="176"/>
      <c r="L10" s="176"/>
      <c r="M10" s="176"/>
      <c r="N10" s="176"/>
      <c r="O10" s="176"/>
      <c r="P10" s="177"/>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27"/>
  <dimension ref="B2:P31"/>
  <sheetViews>
    <sheetView workbookViewId="0" topLeftCell="A1">
      <selection activeCell="A1" sqref="A1"/>
    </sheetView>
  </sheetViews>
  <sheetFormatPr defaultColWidth="9.140625" defaultRowHeight="12.75"/>
  <cols>
    <col min="1" max="2" width="3.28125" style="3" customWidth="1"/>
    <col min="3" max="3" width="30.7109375" style="2" customWidth="1"/>
    <col min="4" max="16" width="9.7109375" style="3" customWidth="1"/>
    <col min="17" max="16384" width="9.140625" style="3" customWidth="1"/>
  </cols>
  <sheetData>
    <row r="2" ht="12.75">
      <c r="B2" s="2" t="s">
        <v>212</v>
      </c>
    </row>
    <row r="3" ht="13.5" thickBot="1"/>
    <row r="4" spans="3:16" ht="13.5" thickBot="1">
      <c r="C4" s="241" t="s">
        <v>211</v>
      </c>
      <c r="D4" s="242"/>
      <c r="E4" s="5" t="s">
        <v>36</v>
      </c>
      <c r="F4" s="6" t="s">
        <v>37</v>
      </c>
      <c r="G4" s="6" t="s">
        <v>79</v>
      </c>
      <c r="H4" s="6" t="s">
        <v>38</v>
      </c>
      <c r="I4" s="6" t="s">
        <v>77</v>
      </c>
      <c r="J4" s="6" t="s">
        <v>39</v>
      </c>
      <c r="K4" s="6" t="s">
        <v>40</v>
      </c>
      <c r="L4" s="6" t="s">
        <v>41</v>
      </c>
      <c r="M4" s="6" t="s">
        <v>42</v>
      </c>
      <c r="N4" s="6" t="s">
        <v>78</v>
      </c>
      <c r="O4" s="6" t="s">
        <v>43</v>
      </c>
      <c r="P4" s="7" t="s">
        <v>44</v>
      </c>
    </row>
    <row r="5" spans="3:16" s="13" customFormat="1" ht="12.75">
      <c r="C5" s="8" t="s">
        <v>14</v>
      </c>
      <c r="D5" s="9" t="s">
        <v>45</v>
      </c>
      <c r="E5" s="169"/>
      <c r="F5" s="170"/>
      <c r="G5" s="170"/>
      <c r="H5" s="170"/>
      <c r="I5" s="170"/>
      <c r="J5" s="170"/>
      <c r="K5" s="170"/>
      <c r="L5" s="170"/>
      <c r="M5" s="170"/>
      <c r="N5" s="170"/>
      <c r="O5" s="170"/>
      <c r="P5" s="171"/>
    </row>
    <row r="6" spans="3:16" s="13" customFormat="1" ht="14.25">
      <c r="C6" s="14" t="s">
        <v>15</v>
      </c>
      <c r="D6" s="15" t="s">
        <v>49</v>
      </c>
      <c r="E6" s="172"/>
      <c r="F6" s="173"/>
      <c r="G6" s="173"/>
      <c r="H6" s="173"/>
      <c r="I6" s="173"/>
      <c r="J6" s="173"/>
      <c r="K6" s="173"/>
      <c r="L6" s="173"/>
      <c r="M6" s="173"/>
      <c r="N6" s="173"/>
      <c r="O6" s="173"/>
      <c r="P6" s="174"/>
    </row>
    <row r="7" spans="3:16" s="13" customFormat="1" ht="14.25">
      <c r="C7" s="14" t="s">
        <v>16</v>
      </c>
      <c r="D7" s="15" t="s">
        <v>49</v>
      </c>
      <c r="E7" s="172"/>
      <c r="F7" s="173"/>
      <c r="G7" s="173"/>
      <c r="H7" s="173"/>
      <c r="I7" s="173"/>
      <c r="J7" s="173"/>
      <c r="K7" s="173"/>
      <c r="L7" s="173"/>
      <c r="M7" s="173"/>
      <c r="N7" s="173"/>
      <c r="O7" s="173"/>
      <c r="P7" s="174"/>
    </row>
    <row r="8" spans="3:16" s="13" customFormat="1" ht="14.25">
      <c r="C8" s="14" t="s">
        <v>17</v>
      </c>
      <c r="D8" s="15" t="s">
        <v>49</v>
      </c>
      <c r="E8" s="172"/>
      <c r="F8" s="173"/>
      <c r="G8" s="173"/>
      <c r="H8" s="173"/>
      <c r="I8" s="173"/>
      <c r="J8" s="173"/>
      <c r="K8" s="173"/>
      <c r="L8" s="173"/>
      <c r="M8" s="173"/>
      <c r="N8" s="173"/>
      <c r="O8" s="173"/>
      <c r="P8" s="174"/>
    </row>
    <row r="9" spans="3:16" s="13" customFormat="1" ht="14.25">
      <c r="C9" s="14" t="s">
        <v>18</v>
      </c>
      <c r="D9" s="15" t="s">
        <v>49</v>
      </c>
      <c r="E9" s="172"/>
      <c r="F9" s="173"/>
      <c r="G9" s="173"/>
      <c r="H9" s="173"/>
      <c r="I9" s="173"/>
      <c r="J9" s="173"/>
      <c r="K9" s="173"/>
      <c r="L9" s="173"/>
      <c r="M9" s="173"/>
      <c r="N9" s="173"/>
      <c r="O9" s="173"/>
      <c r="P9" s="174"/>
    </row>
    <row r="10" spans="3:16" ht="15" thickBot="1">
      <c r="C10" s="19" t="s">
        <v>46</v>
      </c>
      <c r="D10" s="20" t="s">
        <v>49</v>
      </c>
      <c r="E10" s="175"/>
      <c r="F10" s="176"/>
      <c r="G10" s="176"/>
      <c r="H10" s="176"/>
      <c r="I10" s="176"/>
      <c r="J10" s="176"/>
      <c r="K10" s="176"/>
      <c r="L10" s="176"/>
      <c r="M10" s="176"/>
      <c r="N10" s="176"/>
      <c r="O10" s="176"/>
      <c r="P10" s="177"/>
    </row>
    <row r="11" spans="3:16" ht="12.75">
      <c r="C11" s="24"/>
      <c r="D11" s="24"/>
      <c r="E11" s="24"/>
      <c r="F11" s="24"/>
      <c r="G11" s="24"/>
      <c r="H11" s="24"/>
      <c r="I11" s="24"/>
      <c r="J11" s="24"/>
      <c r="K11" s="24"/>
      <c r="L11" s="24"/>
      <c r="M11" s="24"/>
      <c r="N11" s="24"/>
      <c r="O11" s="24"/>
      <c r="P11" s="24"/>
    </row>
    <row r="14" spans="3:16" ht="12.75">
      <c r="C14" s="24"/>
      <c r="D14" s="24"/>
      <c r="E14" s="24"/>
      <c r="F14" s="24"/>
      <c r="G14" s="24"/>
      <c r="H14" s="24"/>
      <c r="I14" s="24"/>
      <c r="J14" s="24"/>
      <c r="K14" s="24"/>
      <c r="L14" s="24"/>
      <c r="M14" s="24"/>
      <c r="N14" s="24"/>
      <c r="O14" s="24"/>
      <c r="P14" s="24"/>
    </row>
    <row r="15" spans="3:16" ht="12.75">
      <c r="C15" s="24"/>
      <c r="D15" s="24"/>
      <c r="E15" s="24"/>
      <c r="F15" s="24"/>
      <c r="G15" s="24"/>
      <c r="H15" s="24"/>
      <c r="I15" s="24"/>
      <c r="J15" s="24"/>
      <c r="K15" s="24"/>
      <c r="L15" s="24"/>
      <c r="M15" s="24"/>
      <c r="N15" s="24"/>
      <c r="O15" s="24"/>
      <c r="P15" s="24"/>
    </row>
    <row r="16" spans="3:16" ht="12.75">
      <c r="C16" s="24"/>
      <c r="D16" s="24"/>
      <c r="E16" s="24"/>
      <c r="F16" s="24"/>
      <c r="G16" s="24"/>
      <c r="H16" s="24"/>
      <c r="I16" s="24"/>
      <c r="J16" s="24"/>
      <c r="K16" s="24"/>
      <c r="L16" s="24"/>
      <c r="M16" s="24"/>
      <c r="N16" s="24"/>
      <c r="O16" s="24"/>
      <c r="P16" s="24"/>
    </row>
    <row r="17" spans="3:16" ht="12.75">
      <c r="C17" s="24"/>
      <c r="D17" s="24"/>
      <c r="E17" s="24"/>
      <c r="F17" s="24"/>
      <c r="G17" s="24"/>
      <c r="H17" s="24"/>
      <c r="I17" s="24"/>
      <c r="J17" s="24"/>
      <c r="K17" s="24"/>
      <c r="L17" s="24"/>
      <c r="M17" s="24"/>
      <c r="N17" s="24"/>
      <c r="O17" s="24"/>
      <c r="P17" s="24"/>
    </row>
    <row r="18" spans="3:16" ht="12.75">
      <c r="C18" s="24"/>
      <c r="D18" s="24"/>
      <c r="E18" s="24"/>
      <c r="F18" s="24"/>
      <c r="G18" s="24"/>
      <c r="H18" s="24"/>
      <c r="I18" s="24"/>
      <c r="J18" s="24"/>
      <c r="K18" s="24"/>
      <c r="L18" s="24"/>
      <c r="M18" s="24"/>
      <c r="N18" s="24"/>
      <c r="O18" s="24"/>
      <c r="P18" s="24"/>
    </row>
    <row r="19" spans="3:16" ht="12.75">
      <c r="C19" s="24"/>
      <c r="D19" s="24"/>
      <c r="E19" s="24"/>
      <c r="F19" s="24"/>
      <c r="G19" s="24"/>
      <c r="H19" s="24"/>
      <c r="I19" s="24"/>
      <c r="J19" s="24"/>
      <c r="K19" s="24"/>
      <c r="L19" s="24"/>
      <c r="M19" s="24"/>
      <c r="N19" s="24"/>
      <c r="O19" s="24"/>
      <c r="P19" s="24"/>
    </row>
    <row r="22" spans="5:16" ht="12.75">
      <c r="E22" s="25"/>
      <c r="F22" s="25"/>
      <c r="G22" s="25"/>
      <c r="H22" s="25"/>
      <c r="I22" s="25"/>
      <c r="J22" s="25"/>
      <c r="K22" s="25"/>
      <c r="L22" s="25"/>
      <c r="M22" s="25"/>
      <c r="N22" s="25"/>
      <c r="O22" s="25"/>
      <c r="P22" s="25"/>
    </row>
    <row r="23" spans="5:16" ht="12.75">
      <c r="E23" s="25"/>
      <c r="F23" s="25"/>
      <c r="G23" s="25"/>
      <c r="H23" s="25"/>
      <c r="I23" s="25"/>
      <c r="J23" s="25"/>
      <c r="K23" s="25"/>
      <c r="L23" s="25"/>
      <c r="M23" s="25"/>
      <c r="N23" s="25"/>
      <c r="O23" s="25"/>
      <c r="P23" s="25"/>
    </row>
    <row r="24" spans="5:16" ht="12.75">
      <c r="E24" s="25"/>
      <c r="F24" s="25"/>
      <c r="G24" s="25"/>
      <c r="H24" s="25"/>
      <c r="I24" s="25"/>
      <c r="J24" s="25"/>
      <c r="K24" s="25"/>
      <c r="L24" s="25"/>
      <c r="M24" s="25"/>
      <c r="N24" s="25"/>
      <c r="O24" s="25"/>
      <c r="P24" s="25"/>
    </row>
    <row r="25" spans="5:16" ht="12.75">
      <c r="E25" s="25"/>
      <c r="F25" s="25"/>
      <c r="G25" s="25"/>
      <c r="H25" s="25"/>
      <c r="I25" s="25"/>
      <c r="J25" s="25"/>
      <c r="K25" s="25"/>
      <c r="L25" s="25"/>
      <c r="M25" s="25"/>
      <c r="N25" s="25"/>
      <c r="O25" s="25"/>
      <c r="P25" s="25"/>
    </row>
    <row r="28" spans="5:16" ht="12.75">
      <c r="E28" s="25"/>
      <c r="F28" s="25"/>
      <c r="G28" s="25"/>
      <c r="H28" s="25"/>
      <c r="I28" s="25"/>
      <c r="J28" s="25"/>
      <c r="K28" s="25"/>
      <c r="L28" s="25"/>
      <c r="M28" s="25"/>
      <c r="N28" s="25"/>
      <c r="O28" s="25"/>
      <c r="P28" s="25"/>
    </row>
    <row r="29" spans="5:16" ht="12.75">
      <c r="E29" s="25"/>
      <c r="F29" s="25"/>
      <c r="G29" s="25"/>
      <c r="H29" s="25"/>
      <c r="I29" s="25"/>
      <c r="J29" s="25"/>
      <c r="K29" s="25"/>
      <c r="L29" s="25"/>
      <c r="M29" s="25"/>
      <c r="N29" s="25"/>
      <c r="O29" s="25"/>
      <c r="P29" s="25"/>
    </row>
    <row r="30" spans="5:16" ht="12.75">
      <c r="E30" s="25"/>
      <c r="F30" s="25"/>
      <c r="G30" s="25"/>
      <c r="H30" s="25"/>
      <c r="I30" s="25"/>
      <c r="J30" s="25"/>
      <c r="K30" s="25"/>
      <c r="L30" s="25"/>
      <c r="M30" s="25"/>
      <c r="N30" s="25"/>
      <c r="O30" s="25"/>
      <c r="P30" s="25"/>
    </row>
    <row r="31" spans="5:16" ht="12.75">
      <c r="E31" s="25"/>
      <c r="F31" s="25"/>
      <c r="G31" s="25"/>
      <c r="H31" s="25"/>
      <c r="I31" s="25"/>
      <c r="J31" s="25"/>
      <c r="K31" s="25"/>
      <c r="L31" s="25"/>
      <c r="M31" s="25"/>
      <c r="N31" s="25"/>
      <c r="O31" s="25"/>
      <c r="P31" s="25"/>
    </row>
  </sheetData>
  <sheetProtection sheet="1" objects="1" scenarios="1"/>
  <mergeCells count="1">
    <mergeCell ref="C4:D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TNO BenO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Marleen</dc:creator>
  <cp:keywords/>
  <dc:description/>
  <cp:lastModifiedBy>spiekmanme</cp:lastModifiedBy>
  <dcterms:created xsi:type="dcterms:W3CDTF">2008-12-04T11:21:11Z</dcterms:created>
  <dcterms:modified xsi:type="dcterms:W3CDTF">2010-03-25T09:09:52Z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08EB405C_2F3B_4316_9D53_F60588752875">
    <vt:lpwstr>0</vt:lpwstr>
  </property>
</Properties>
</file>